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6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7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omments8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omments9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10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11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2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13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omments14.xml" ContentType="application/vnd.openxmlformats-officedocument.spreadsheetml.comment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omments15.xml" ContentType="application/vnd.openxmlformats-officedocument.spreadsheetml.comment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omments16.xml" ContentType="application/vnd.openxmlformats-officedocument.spreadsheetml.comment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omments17.xml" ContentType="application/vnd.openxmlformats-officedocument.spreadsheetml.comment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omments18.xml" ContentType="application/vnd.openxmlformats-officedocument.spreadsheetml.comments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omments19.xml" ContentType="application/vnd.openxmlformats-officedocument.spreadsheetml.comment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omments20.xml" ContentType="application/vnd.openxmlformats-officedocument.spreadsheetml.comment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omments21.xml" ContentType="application/vnd.openxmlformats-officedocument.spreadsheetml.comments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omments22.xml" ContentType="application/vnd.openxmlformats-officedocument.spreadsheetml.comments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omments23.xml" ContentType="application/vnd.openxmlformats-officedocument.spreadsheetml.comments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omments24.xml" ContentType="application/vnd.openxmlformats-officedocument.spreadsheetml.comments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omments25.xml" ContentType="application/vnd.openxmlformats-officedocument.spreadsheetml.comments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omments26.xml" ContentType="application/vnd.openxmlformats-officedocument.spreadsheetml.comments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comments27.xml" ContentType="application/vnd.openxmlformats-officedocument.spreadsheetml.comments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omments28.xml" ContentType="application/vnd.openxmlformats-officedocument.spreadsheetml.comment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omments29.xml" ContentType="application/vnd.openxmlformats-officedocument.spreadsheetml.comment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omments30.xml" ContentType="application/vnd.openxmlformats-officedocument.spreadsheetml.comment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omments31.xml" ContentType="application/vnd.openxmlformats-officedocument.spreadsheetml.comments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comments32.xml" ContentType="application/vnd.openxmlformats-officedocument.spreadsheetml.comments+xml"/>
  <Override PartName="/xl/drawings/drawing7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fileserver.hawa.com\PIM\Multimedia\20_Data\25_praeterea\"/>
    </mc:Choice>
  </mc:AlternateContent>
  <xr:revisionPtr revIDLastSave="0" documentId="13_ncr:1_{032161B5-67A7-4986-BD9A-4D81600FEA37}" xr6:coauthVersionLast="47" xr6:coauthVersionMax="47" xr10:uidLastSave="{00000000-0000-0000-0000-000000000000}"/>
  <bookViews>
    <workbookView xWindow="-120" yWindow="-120" windowWidth="29040" windowHeight="15840" tabRatio="826" xr2:uid="{00000000-000D-0000-FFFF-FFFF00000000}"/>
  </bookViews>
  <sheets>
    <sheet name="Startseite" sheetId="22" r:id="rId1"/>
    <sheet name="J_P" sheetId="23" r:id="rId2"/>
    <sheet name="Situation J" sheetId="24" r:id="rId3"/>
    <sheet name="Art J N" sheetId="26" r:id="rId4"/>
    <sheet name="P J N L G" sheetId="25" r:id="rId5"/>
    <sheet name="1" sheetId="2" r:id="rId6"/>
    <sheet name="P J N L T" sheetId="30" r:id="rId7"/>
    <sheet name="2" sheetId="31" r:id="rId8"/>
    <sheet name="P J N R G " sheetId="44" r:id="rId9"/>
    <sheet name="7" sheetId="45" r:id="rId10"/>
    <sheet name="P J N R T " sheetId="46" r:id="rId11"/>
    <sheet name="8" sheetId="47" r:id="rId12"/>
    <sheet name="Art J B" sheetId="27" r:id="rId13"/>
    <sheet name="P J B L G " sheetId="32" r:id="rId14"/>
    <sheet name="3" sheetId="33" r:id="rId15"/>
    <sheet name="P J B L T " sheetId="34" r:id="rId16"/>
    <sheet name="4" sheetId="35" r:id="rId17"/>
    <sheet name="P J B R G " sheetId="48" r:id="rId18"/>
    <sheet name="9" sheetId="49" r:id="rId19"/>
    <sheet name="P J B R T  " sheetId="50" r:id="rId20"/>
    <sheet name="10" sheetId="51" r:id="rId21"/>
    <sheet name="Art J U" sheetId="28" r:id="rId22"/>
    <sheet name="P J U L G  " sheetId="36" r:id="rId23"/>
    <sheet name="5" sheetId="37" r:id="rId24"/>
    <sheet name="P J U L T " sheetId="38" r:id="rId25"/>
    <sheet name="6" sheetId="39" r:id="rId26"/>
    <sheet name="P J U R G  " sheetId="54" r:id="rId27"/>
    <sheet name="11" sheetId="55" r:id="rId28"/>
    <sheet name="P J U R T " sheetId="56" r:id="rId29"/>
    <sheet name="12" sheetId="57" r:id="rId30"/>
    <sheet name="Art J P " sheetId="40" r:id="rId31"/>
    <sheet name="P J P L G" sheetId="41" r:id="rId32"/>
    <sheet name="13" sheetId="43" r:id="rId33"/>
    <sheet name="P J P L T " sheetId="105" r:id="rId34"/>
    <sheet name="14" sheetId="106" r:id="rId35"/>
    <sheet name="P J P R G" sheetId="107" r:id="rId36"/>
    <sheet name="15" sheetId="108" r:id="rId37"/>
    <sheet name="P J P R T" sheetId="109" r:id="rId38"/>
    <sheet name="16" sheetId="110" r:id="rId39"/>
    <sheet name="Daten" sheetId="29" r:id="rId40"/>
    <sheet name="P P" sheetId="58" r:id="rId41"/>
    <sheet name="Situation P" sheetId="59" r:id="rId42"/>
    <sheet name="Art P N " sheetId="60" r:id="rId43"/>
    <sheet name="P P N L G " sheetId="61" r:id="rId44"/>
    <sheet name="21" sheetId="62" r:id="rId45"/>
    <sheet name="P P N L T " sheetId="63" r:id="rId46"/>
    <sheet name="22" sheetId="64" r:id="rId47"/>
    <sheet name="P P N R G " sheetId="65" r:id="rId48"/>
    <sheet name="27" sheetId="66" r:id="rId49"/>
    <sheet name="P P N R T " sheetId="67" r:id="rId50"/>
    <sheet name="28" sheetId="68" r:id="rId51"/>
    <sheet name="Art P B " sheetId="87" r:id="rId52"/>
    <sheet name="P P B L G " sheetId="88" r:id="rId53"/>
    <sheet name="23" sheetId="89" r:id="rId54"/>
    <sheet name="P P B L T " sheetId="90" r:id="rId55"/>
    <sheet name="24" sheetId="91" r:id="rId56"/>
    <sheet name="P P B R G " sheetId="92" r:id="rId57"/>
    <sheet name="29" sheetId="93" r:id="rId58"/>
    <sheet name="P P B R T " sheetId="94" r:id="rId59"/>
    <sheet name="30" sheetId="95" r:id="rId60"/>
    <sheet name="Art P U " sheetId="96" r:id="rId61"/>
    <sheet name="P P U L G " sheetId="97" r:id="rId62"/>
    <sheet name="25" sheetId="98" r:id="rId63"/>
    <sheet name="P P U L T  " sheetId="99" r:id="rId64"/>
    <sheet name="26" sheetId="100" r:id="rId65"/>
    <sheet name="P P U R G  " sheetId="101" r:id="rId66"/>
    <sheet name="31" sheetId="102" r:id="rId67"/>
    <sheet name="P P U R T " sheetId="103" r:id="rId68"/>
    <sheet name="32" sheetId="104" r:id="rId69"/>
    <sheet name="Art P P" sheetId="111" r:id="rId70"/>
    <sheet name="P P P L G " sheetId="112" r:id="rId71"/>
    <sheet name="17" sheetId="113" r:id="rId72"/>
    <sheet name="P P P L T " sheetId="116" r:id="rId73"/>
    <sheet name="18" sheetId="117" r:id="rId74"/>
    <sheet name="P P P R G " sheetId="118" r:id="rId75"/>
    <sheet name="19" sheetId="119" r:id="rId76"/>
    <sheet name="P P P R T" sheetId="120" r:id="rId77"/>
    <sheet name="20" sheetId="121" r:id="rId7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8" i="89" l="1"/>
  <c r="Z18" i="64"/>
  <c r="H19" i="56"/>
  <c r="H19" i="50"/>
  <c r="H17" i="44"/>
  <c r="D15" i="103"/>
  <c r="D15" i="101"/>
  <c r="D15" i="99"/>
  <c r="D15" i="97"/>
  <c r="D15" i="94"/>
  <c r="D15" i="92"/>
  <c r="D15" i="90"/>
  <c r="D15" i="88"/>
  <c r="D15" i="56"/>
  <c r="D15" i="54"/>
  <c r="D15" i="38"/>
  <c r="D15" i="36"/>
  <c r="D15" i="50" l="1"/>
  <c r="D15" i="48"/>
  <c r="D15" i="34"/>
  <c r="D15" i="32"/>
  <c r="U15" i="36"/>
  <c r="T52" i="121"/>
  <c r="D52" i="121"/>
  <c r="AH19" i="121"/>
  <c r="AG19" i="121"/>
  <c r="AF19" i="121"/>
  <c r="AH18" i="121"/>
  <c r="AG18" i="121"/>
  <c r="AF18" i="121"/>
  <c r="AH14" i="121"/>
  <c r="AF14" i="121"/>
  <c r="AH10" i="121"/>
  <c r="AF10" i="121"/>
  <c r="H8" i="121"/>
  <c r="H6" i="121"/>
  <c r="U27" i="120"/>
  <c r="U25" i="120"/>
  <c r="F21" i="120"/>
  <c r="U13" i="120"/>
  <c r="U40" i="120" s="1"/>
  <c r="AI13" i="121" s="1"/>
  <c r="U11" i="120"/>
  <c r="H10" i="121" s="1"/>
  <c r="T52" i="119"/>
  <c r="D52" i="119"/>
  <c r="AH19" i="119"/>
  <c r="AG19" i="119"/>
  <c r="AF19" i="119"/>
  <c r="AH18" i="119"/>
  <c r="AG18" i="119"/>
  <c r="AF18" i="119"/>
  <c r="AH14" i="119"/>
  <c r="AF14" i="119"/>
  <c r="AF10" i="119"/>
  <c r="AH10" i="119" s="1"/>
  <c r="H8" i="119"/>
  <c r="H6" i="119"/>
  <c r="U25" i="118"/>
  <c r="U23" i="118"/>
  <c r="F19" i="118"/>
  <c r="U13" i="118"/>
  <c r="U38" i="118" s="1"/>
  <c r="AI13" i="119" s="1"/>
  <c r="U11" i="118"/>
  <c r="H10" i="119" s="1"/>
  <c r="T52" i="117"/>
  <c r="D52" i="117"/>
  <c r="AH19" i="117"/>
  <c r="AG19" i="117"/>
  <c r="AF19" i="117"/>
  <c r="AH18" i="117"/>
  <c r="AG18" i="117"/>
  <c r="AF18" i="117"/>
  <c r="AH14" i="117"/>
  <c r="AF14" i="117"/>
  <c r="AH10" i="117"/>
  <c r="AF10" i="117"/>
  <c r="H8" i="117"/>
  <c r="U27" i="116"/>
  <c r="U25" i="116"/>
  <c r="H6" i="117" s="1"/>
  <c r="F21" i="116"/>
  <c r="U13" i="116"/>
  <c r="U40" i="116" s="1"/>
  <c r="AI13" i="117" s="1"/>
  <c r="U11" i="116"/>
  <c r="H10" i="117" s="1"/>
  <c r="AH19" i="113"/>
  <c r="AH18" i="113"/>
  <c r="AG19" i="113"/>
  <c r="AF19" i="113"/>
  <c r="AF18" i="113"/>
  <c r="AF10" i="113"/>
  <c r="AH10" i="113" s="1"/>
  <c r="U23" i="112"/>
  <c r="U11" i="112"/>
  <c r="H10" i="113" s="1"/>
  <c r="F19" i="112"/>
  <c r="T52" i="113"/>
  <c r="D52" i="113"/>
  <c r="AG18" i="113"/>
  <c r="AH14" i="113"/>
  <c r="AF14" i="113"/>
  <c r="H8" i="113"/>
  <c r="U25" i="112"/>
  <c r="H6" i="113"/>
  <c r="U13" i="112"/>
  <c r="V40" i="112" s="1"/>
  <c r="U38" i="120" l="1"/>
  <c r="AI12" i="121" s="1"/>
  <c r="V42" i="120"/>
  <c r="D54" i="119"/>
  <c r="D56" i="119" s="1"/>
  <c r="V40" i="118"/>
  <c r="U36" i="118"/>
  <c r="AI12" i="119" s="1"/>
  <c r="U15" i="118"/>
  <c r="H17" i="118" s="1"/>
  <c r="U15" i="120"/>
  <c r="H17" i="120" s="1"/>
  <c r="D54" i="121"/>
  <c r="D56" i="121" s="1"/>
  <c r="U28" i="118"/>
  <c r="U30" i="120"/>
  <c r="U30" i="116"/>
  <c r="V42" i="116"/>
  <c r="AF11" i="117" s="1"/>
  <c r="U38" i="116"/>
  <c r="AI12" i="117" s="1"/>
  <c r="U15" i="116"/>
  <c r="H17" i="116" s="1"/>
  <c r="D54" i="117"/>
  <c r="D56" i="117" s="1"/>
  <c r="AF11" i="113"/>
  <c r="W40" i="112"/>
  <c r="AH11" i="113" s="1"/>
  <c r="U38" i="112"/>
  <c r="AI13" i="113" s="1"/>
  <c r="D54" i="113"/>
  <c r="D56" i="113" s="1"/>
  <c r="U15" i="112"/>
  <c r="H17" i="112" s="1"/>
  <c r="U28" i="112"/>
  <c r="U36" i="112"/>
  <c r="AI12" i="113" s="1"/>
  <c r="U52" i="110"/>
  <c r="D52" i="110"/>
  <c r="AH18" i="110"/>
  <c r="AG18" i="110"/>
  <c r="AF18" i="110"/>
  <c r="AH14" i="110"/>
  <c r="AF14" i="110"/>
  <c r="AH10" i="110"/>
  <c r="AF10" i="110"/>
  <c r="H8" i="110"/>
  <c r="U25" i="109"/>
  <c r="U23" i="109"/>
  <c r="H6" i="110" s="1"/>
  <c r="U13" i="109"/>
  <c r="U11" i="109"/>
  <c r="H10" i="110" s="1"/>
  <c r="U52" i="108"/>
  <c r="D52" i="108"/>
  <c r="AH18" i="108"/>
  <c r="AG18" i="108"/>
  <c r="AF18" i="108"/>
  <c r="AH14" i="108"/>
  <c r="AF14" i="108"/>
  <c r="AH10" i="108"/>
  <c r="AF10" i="108"/>
  <c r="H8" i="108"/>
  <c r="U24" i="107"/>
  <c r="U22" i="107"/>
  <c r="H6" i="108" s="1"/>
  <c r="U13" i="107"/>
  <c r="U11" i="107"/>
  <c r="H10" i="108" s="1"/>
  <c r="T52" i="106"/>
  <c r="D52" i="106"/>
  <c r="AH18" i="106"/>
  <c r="AG18" i="106"/>
  <c r="AF18" i="106"/>
  <c r="AH14" i="106"/>
  <c r="AF14" i="106"/>
  <c r="AH10" i="106"/>
  <c r="AF10" i="106"/>
  <c r="H8" i="106"/>
  <c r="U25" i="105"/>
  <c r="U23" i="105"/>
  <c r="H6" i="106" s="1"/>
  <c r="U13" i="105"/>
  <c r="U11" i="105"/>
  <c r="H10" i="106" s="1"/>
  <c r="U11" i="41"/>
  <c r="U36" i="109" l="1"/>
  <c r="AI12" i="110" s="1"/>
  <c r="U28" i="109"/>
  <c r="U30" i="109" s="1"/>
  <c r="V32" i="109" s="1"/>
  <c r="V40" i="105"/>
  <c r="W40" i="105" s="1"/>
  <c r="AH11" i="106" s="1"/>
  <c r="U28" i="105"/>
  <c r="W42" i="120"/>
  <c r="AH11" i="121" s="1"/>
  <c r="AF11" i="121"/>
  <c r="AF11" i="119"/>
  <c r="W40" i="118"/>
  <c r="AH11" i="119" s="1"/>
  <c r="D48" i="121"/>
  <c r="W31" i="120"/>
  <c r="AH15" i="121" s="1"/>
  <c r="V31" i="120"/>
  <c r="AF15" i="121" s="1"/>
  <c r="D48" i="119"/>
  <c r="W29" i="118"/>
  <c r="AH15" i="119" s="1"/>
  <c r="V29" i="118"/>
  <c r="AF15" i="119" s="1"/>
  <c r="W42" i="116"/>
  <c r="AH11" i="117" s="1"/>
  <c r="D48" i="117"/>
  <c r="W31" i="116"/>
  <c r="AH15" i="117" s="1"/>
  <c r="V31" i="116"/>
  <c r="AF15" i="117" s="1"/>
  <c r="V29" i="112"/>
  <c r="W29" i="112"/>
  <c r="D48" i="113"/>
  <c r="D54" i="110"/>
  <c r="D56" i="110" s="1"/>
  <c r="V40" i="109"/>
  <c r="W40" i="109" s="1"/>
  <c r="D48" i="110"/>
  <c r="U37" i="107"/>
  <c r="AI13" i="108" s="1"/>
  <c r="V39" i="107"/>
  <c r="W39" i="107" s="1"/>
  <c r="D54" i="108"/>
  <c r="D56" i="108" s="1"/>
  <c r="U15" i="109"/>
  <c r="H17" i="109" s="1"/>
  <c r="U15" i="107"/>
  <c r="H17" i="107" s="1"/>
  <c r="U27" i="107"/>
  <c r="U35" i="107"/>
  <c r="AI12" i="108" s="1"/>
  <c r="V29" i="109"/>
  <c r="U38" i="109"/>
  <c r="AI13" i="110" s="1"/>
  <c r="U38" i="105"/>
  <c r="AI13" i="106" s="1"/>
  <c r="D54" i="106"/>
  <c r="D56" i="106" s="1"/>
  <c r="U15" i="105"/>
  <c r="H17" i="105" s="1"/>
  <c r="U36" i="105"/>
  <c r="AI12" i="106" s="1"/>
  <c r="AF11" i="106" l="1"/>
  <c r="AH15" i="113"/>
  <c r="AF15" i="113"/>
  <c r="AH11" i="110"/>
  <c r="AF11" i="110"/>
  <c r="AF16" i="110"/>
  <c r="W32" i="109"/>
  <c r="AH16" i="110" s="1"/>
  <c r="U29" i="107"/>
  <c r="V31" i="107" s="1"/>
  <c r="V28" i="107"/>
  <c r="D48" i="108"/>
  <c r="AF11" i="108"/>
  <c r="AH11" i="108"/>
  <c r="AF15" i="110"/>
  <c r="W29" i="109"/>
  <c r="AH15" i="110" s="1"/>
  <c r="D48" i="106"/>
  <c r="U30" i="105"/>
  <c r="V32" i="105" s="1"/>
  <c r="V29" i="105"/>
  <c r="AF15" i="108" l="1"/>
  <c r="W28" i="107"/>
  <c r="AH15" i="108" s="1"/>
  <c r="AF16" i="108"/>
  <c r="W31" i="107"/>
  <c r="AH16" i="108" s="1"/>
  <c r="AF16" i="106"/>
  <c r="W32" i="105"/>
  <c r="AH16" i="106" s="1"/>
  <c r="W29" i="105"/>
  <c r="AH15" i="106" s="1"/>
  <c r="AF15" i="106"/>
  <c r="T52" i="104" l="1"/>
  <c r="U15" i="103"/>
  <c r="T52" i="102"/>
  <c r="U15" i="101"/>
  <c r="T52" i="100"/>
  <c r="U15" i="99"/>
  <c r="L50" i="100" s="1"/>
  <c r="T52" i="98"/>
  <c r="U15" i="97"/>
  <c r="U47" i="97" s="1"/>
  <c r="AC13" i="98" s="1"/>
  <c r="L62" i="104"/>
  <c r="T50" i="104"/>
  <c r="T48" i="104"/>
  <c r="L48" i="104"/>
  <c r="T25" i="104"/>
  <c r="AB19" i="104"/>
  <c r="AA19" i="104"/>
  <c r="Z19" i="104"/>
  <c r="AA18" i="104"/>
  <c r="AB14" i="104"/>
  <c r="Z14" i="104"/>
  <c r="Z10" i="104"/>
  <c r="AB10" i="104" s="1"/>
  <c r="H8" i="104"/>
  <c r="U27" i="103"/>
  <c r="U39" i="103" s="1"/>
  <c r="F23" i="103"/>
  <c r="L50" i="104"/>
  <c r="U11" i="103"/>
  <c r="H10" i="104" s="1"/>
  <c r="T50" i="102"/>
  <c r="T48" i="102"/>
  <c r="U25" i="102" s="1"/>
  <c r="L48" i="102"/>
  <c r="L25" i="102"/>
  <c r="AB19" i="102"/>
  <c r="AA19" i="102"/>
  <c r="Z19" i="102"/>
  <c r="AA18" i="102"/>
  <c r="AB14" i="102"/>
  <c r="Z14" i="102"/>
  <c r="Z10" i="102"/>
  <c r="AB10" i="102" s="1"/>
  <c r="H8" i="102"/>
  <c r="U25" i="101"/>
  <c r="U37" i="101" s="1"/>
  <c r="F21" i="101"/>
  <c r="U47" i="101"/>
  <c r="AC13" i="102" s="1"/>
  <c r="U11" i="101"/>
  <c r="H10" i="102" s="1"/>
  <c r="L62" i="100"/>
  <c r="T50" i="100"/>
  <c r="T48" i="100"/>
  <c r="L48" i="100"/>
  <c r="L25" i="100"/>
  <c r="AB19" i="100"/>
  <c r="AA19" i="100"/>
  <c r="Z19" i="100"/>
  <c r="AA18" i="100"/>
  <c r="AB14" i="100"/>
  <c r="Z14" i="100"/>
  <c r="Z10" i="100"/>
  <c r="AB10" i="100" s="1"/>
  <c r="H8" i="100"/>
  <c r="U27" i="99"/>
  <c r="U39" i="99" s="1"/>
  <c r="F23" i="99"/>
  <c r="U11" i="99"/>
  <c r="H10" i="100" s="1"/>
  <c r="T50" i="98"/>
  <c r="T48" i="98"/>
  <c r="L48" i="98"/>
  <c r="U25" i="98"/>
  <c r="L25" i="98"/>
  <c r="AB19" i="98"/>
  <c r="AA19" i="98"/>
  <c r="Z19" i="98"/>
  <c r="AA18" i="98"/>
  <c r="AB14" i="98"/>
  <c r="Z14" i="98"/>
  <c r="Z10" i="98"/>
  <c r="AB10" i="98" s="1"/>
  <c r="H8" i="98"/>
  <c r="U25" i="97"/>
  <c r="U37" i="97" s="1"/>
  <c r="F21" i="97"/>
  <c r="U11" i="97"/>
  <c r="H10" i="98" s="1"/>
  <c r="L62" i="95"/>
  <c r="T50" i="95"/>
  <c r="T48" i="95"/>
  <c r="L48" i="95"/>
  <c r="T25" i="95"/>
  <c r="AB19" i="95"/>
  <c r="AA19" i="95"/>
  <c r="Z19" i="95"/>
  <c r="AA18" i="95"/>
  <c r="AB14" i="95"/>
  <c r="Z14" i="95"/>
  <c r="Z10" i="95"/>
  <c r="AB10" i="95" s="1"/>
  <c r="H8" i="95"/>
  <c r="H6" i="95"/>
  <c r="D65" i="95" s="1"/>
  <c r="U27" i="94"/>
  <c r="U38" i="94" s="1"/>
  <c r="F23" i="94"/>
  <c r="U15" i="94"/>
  <c r="L50" i="95" s="1"/>
  <c r="U11" i="94"/>
  <c r="H10" i="95" s="1"/>
  <c r="T50" i="93"/>
  <c r="T48" i="93"/>
  <c r="L25" i="93" s="1"/>
  <c r="L48" i="93"/>
  <c r="U25" i="93"/>
  <c r="AB19" i="93"/>
  <c r="AA19" i="93"/>
  <c r="Z19" i="93"/>
  <c r="AA18" i="93"/>
  <c r="AB14" i="93"/>
  <c r="Z14" i="93"/>
  <c r="Z10" i="93"/>
  <c r="AB10" i="93" s="1"/>
  <c r="H8" i="93"/>
  <c r="U25" i="92"/>
  <c r="U36" i="92" s="1"/>
  <c r="F21" i="92"/>
  <c r="U15" i="92"/>
  <c r="U46" i="92" s="1"/>
  <c r="AC13" i="93" s="1"/>
  <c r="U11" i="92"/>
  <c r="H10" i="93" s="1"/>
  <c r="L62" i="91"/>
  <c r="T50" i="91"/>
  <c r="T48" i="91"/>
  <c r="L25" i="91" s="1"/>
  <c r="L48" i="91"/>
  <c r="AB19" i="91"/>
  <c r="AA19" i="91"/>
  <c r="Z19" i="91"/>
  <c r="AA18" i="91"/>
  <c r="AB14" i="91"/>
  <c r="Z14" i="91"/>
  <c r="Z10" i="91"/>
  <c r="AB10" i="91" s="1"/>
  <c r="H8" i="91"/>
  <c r="H6" i="91"/>
  <c r="D64" i="91" s="1"/>
  <c r="U27" i="90"/>
  <c r="U38" i="90" s="1"/>
  <c r="F23" i="90"/>
  <c r="U15" i="90"/>
  <c r="L50" i="91" s="1"/>
  <c r="U11" i="90"/>
  <c r="H10" i="91" s="1"/>
  <c r="T50" i="89"/>
  <c r="T48" i="89"/>
  <c r="L25" i="89" s="1"/>
  <c r="L48" i="89"/>
  <c r="U25" i="89"/>
  <c r="AB19" i="89"/>
  <c r="AA19" i="89"/>
  <c r="Z19" i="89"/>
  <c r="AA18" i="89"/>
  <c r="AB14" i="89"/>
  <c r="Z14" i="89"/>
  <c r="Z10" i="89"/>
  <c r="AB10" i="89" s="1"/>
  <c r="H8" i="89"/>
  <c r="H6" i="89"/>
  <c r="D64" i="89" s="1"/>
  <c r="U25" i="88"/>
  <c r="U36" i="88" s="1"/>
  <c r="F21" i="88"/>
  <c r="U15" i="88"/>
  <c r="U46" i="88" s="1"/>
  <c r="AC13" i="89" s="1"/>
  <c r="U11" i="88"/>
  <c r="H10" i="89" s="1"/>
  <c r="AB19" i="68"/>
  <c r="AA19" i="68"/>
  <c r="Z19" i="68"/>
  <c r="AA18" i="68"/>
  <c r="Z10" i="68"/>
  <c r="AB10" i="68" s="1"/>
  <c r="AB14" i="68"/>
  <c r="Z14" i="68"/>
  <c r="F21" i="67"/>
  <c r="U13" i="67"/>
  <c r="U27" i="67" s="1"/>
  <c r="U25" i="67"/>
  <c r="U36" i="67" s="1"/>
  <c r="V48" i="67"/>
  <c r="W48" i="67" s="1"/>
  <c r="AB11" i="68" s="1"/>
  <c r="U11" i="67"/>
  <c r="AB19" i="66"/>
  <c r="AA19" i="66"/>
  <c r="Z19" i="66"/>
  <c r="AA18" i="66"/>
  <c r="Z10" i="66"/>
  <c r="AB10" i="66" s="1"/>
  <c r="AB14" i="66"/>
  <c r="Z14" i="66"/>
  <c r="H8" i="66"/>
  <c r="H6" i="66"/>
  <c r="U23" i="65"/>
  <c r="U34" i="65" s="1"/>
  <c r="U13" i="65"/>
  <c r="U44" i="65" s="1"/>
  <c r="AC13" i="66" s="1"/>
  <c r="U11" i="65"/>
  <c r="H10" i="66" s="1"/>
  <c r="F19" i="65"/>
  <c r="AB19" i="64"/>
  <c r="AA19" i="64"/>
  <c r="Z19" i="64"/>
  <c r="AA18" i="64"/>
  <c r="Z10" i="64"/>
  <c r="AB10" i="64" s="1"/>
  <c r="AB14" i="64"/>
  <c r="Z14" i="64"/>
  <c r="U13" i="63"/>
  <c r="V48" i="63" s="1"/>
  <c r="W48" i="63" s="1"/>
  <c r="AB11" i="64" s="1"/>
  <c r="F21" i="63"/>
  <c r="U25" i="63"/>
  <c r="H6" i="64" s="1"/>
  <c r="D64" i="64" s="1"/>
  <c r="U11" i="63"/>
  <c r="H10" i="64" s="1"/>
  <c r="AB19" i="62"/>
  <c r="Z19" i="62"/>
  <c r="Z10" i="62"/>
  <c r="AB10" i="62" s="1"/>
  <c r="T50" i="62"/>
  <c r="T48" i="62"/>
  <c r="U25" i="62" s="1"/>
  <c r="L48" i="62"/>
  <c r="H10" i="62"/>
  <c r="H8" i="62"/>
  <c r="H6" i="62"/>
  <c r="D64" i="62" s="1"/>
  <c r="U11" i="61"/>
  <c r="U23" i="61"/>
  <c r="U34" i="61" s="1"/>
  <c r="F19" i="61"/>
  <c r="L62" i="68"/>
  <c r="T50" i="68"/>
  <c r="T48" i="68"/>
  <c r="L48" i="68"/>
  <c r="T25" i="68"/>
  <c r="H10" i="68"/>
  <c r="H8" i="68"/>
  <c r="H6" i="68"/>
  <c r="D65" i="68" s="1"/>
  <c r="T50" i="66"/>
  <c r="T48" i="66"/>
  <c r="U25" i="66" s="1"/>
  <c r="L48" i="66"/>
  <c r="L25" i="66"/>
  <c r="L62" i="64"/>
  <c r="T50" i="64"/>
  <c r="T48" i="64"/>
  <c r="L48" i="64"/>
  <c r="L25" i="64"/>
  <c r="H8" i="64"/>
  <c r="L25" i="62"/>
  <c r="AA19" i="62"/>
  <c r="AA18" i="62"/>
  <c r="AB14" i="62"/>
  <c r="Z14" i="62"/>
  <c r="U13" i="61"/>
  <c r="L50" i="62" s="1"/>
  <c r="AB20" i="57"/>
  <c r="AB19" i="57"/>
  <c r="AA20" i="57"/>
  <c r="AA19" i="57"/>
  <c r="Z20" i="57"/>
  <c r="Z19" i="57"/>
  <c r="AA18" i="57"/>
  <c r="T52" i="57"/>
  <c r="T50" i="57"/>
  <c r="T48" i="57"/>
  <c r="L62" i="57"/>
  <c r="L48" i="57"/>
  <c r="H8" i="57"/>
  <c r="T25" i="57"/>
  <c r="AB14" i="57"/>
  <c r="Z14" i="57"/>
  <c r="AB10" i="57"/>
  <c r="Z10" i="57"/>
  <c r="U25" i="56"/>
  <c r="U37" i="56" s="1"/>
  <c r="U15" i="56"/>
  <c r="U47" i="56" s="1"/>
  <c r="AC13" i="57" s="1"/>
  <c r="U11" i="56"/>
  <c r="H10" i="57" s="1"/>
  <c r="AB20" i="55"/>
  <c r="AB19" i="55"/>
  <c r="AA20" i="55"/>
  <c r="AA19" i="55"/>
  <c r="Z20" i="55"/>
  <c r="Z19" i="55"/>
  <c r="AA18" i="55"/>
  <c r="T52" i="55"/>
  <c r="T50" i="55"/>
  <c r="T48" i="55"/>
  <c r="U25" i="55" s="1"/>
  <c r="L48" i="55"/>
  <c r="H8" i="55"/>
  <c r="AB14" i="55"/>
  <c r="Z14" i="55"/>
  <c r="AB10" i="55"/>
  <c r="Z10" i="55"/>
  <c r="U24" i="54"/>
  <c r="U36" i="54" s="1"/>
  <c r="U15" i="54"/>
  <c r="U46" i="54" s="1"/>
  <c r="AC13" i="55" s="1"/>
  <c r="U11" i="54"/>
  <c r="H10" i="55" s="1"/>
  <c r="AB20" i="51"/>
  <c r="AB19" i="51"/>
  <c r="AA20" i="51"/>
  <c r="AA19" i="51"/>
  <c r="Z20" i="51"/>
  <c r="Z19" i="51"/>
  <c r="AA18" i="51"/>
  <c r="T50" i="51"/>
  <c r="T48" i="51"/>
  <c r="L62" i="51"/>
  <c r="L48" i="51"/>
  <c r="H8" i="51"/>
  <c r="AB20" i="49"/>
  <c r="AB19" i="49"/>
  <c r="AA20" i="49"/>
  <c r="AA19" i="49"/>
  <c r="Z20" i="49"/>
  <c r="Z19" i="49"/>
  <c r="AA18" i="49"/>
  <c r="T50" i="49"/>
  <c r="T48" i="49"/>
  <c r="L48" i="49"/>
  <c r="H8" i="49"/>
  <c r="T25" i="51"/>
  <c r="AB14" i="51"/>
  <c r="Z14" i="51"/>
  <c r="AB10" i="51"/>
  <c r="Z10" i="51"/>
  <c r="U25" i="50"/>
  <c r="U36" i="50" s="1"/>
  <c r="U15" i="50"/>
  <c r="U46" i="50" s="1"/>
  <c r="AC13" i="51" s="1"/>
  <c r="U11" i="50"/>
  <c r="H10" i="51" s="1"/>
  <c r="U25" i="49"/>
  <c r="L25" i="49"/>
  <c r="AB14" i="49"/>
  <c r="Z14" i="49"/>
  <c r="AB10" i="49"/>
  <c r="Z10" i="49"/>
  <c r="U24" i="48"/>
  <c r="U35" i="48" s="1"/>
  <c r="U15" i="48"/>
  <c r="V47" i="48" s="1"/>
  <c r="W47" i="48" s="1"/>
  <c r="AB11" i="49" s="1"/>
  <c r="U11" i="48"/>
  <c r="H10" i="49" s="1"/>
  <c r="AB20" i="47"/>
  <c r="AB19" i="47"/>
  <c r="AA20" i="47"/>
  <c r="AA19" i="47"/>
  <c r="Z20" i="47"/>
  <c r="Z19" i="47"/>
  <c r="AA18" i="47"/>
  <c r="T50" i="47"/>
  <c r="T48" i="47"/>
  <c r="L62" i="47"/>
  <c r="L48" i="47"/>
  <c r="H8" i="47"/>
  <c r="H6" i="47"/>
  <c r="T25" i="47"/>
  <c r="AB14" i="47"/>
  <c r="Z14" i="47"/>
  <c r="AB10" i="47"/>
  <c r="Z10" i="47"/>
  <c r="D68" i="47"/>
  <c r="U23" i="46"/>
  <c r="U34" i="46" s="1"/>
  <c r="U13" i="46"/>
  <c r="U44" i="46" s="1"/>
  <c r="AC13" i="47" s="1"/>
  <c r="U11" i="46"/>
  <c r="H10" i="47" s="1"/>
  <c r="AB20" i="45"/>
  <c r="AB19" i="45"/>
  <c r="AA20" i="45"/>
  <c r="AA19" i="45"/>
  <c r="Z20" i="45"/>
  <c r="Z19" i="45"/>
  <c r="AA18" i="45"/>
  <c r="U25" i="45"/>
  <c r="L48" i="45"/>
  <c r="T50" i="45"/>
  <c r="T48" i="45"/>
  <c r="L25" i="45"/>
  <c r="H8" i="45"/>
  <c r="H6" i="45"/>
  <c r="AB14" i="45"/>
  <c r="Z14" i="45"/>
  <c r="AB10" i="45"/>
  <c r="Z10" i="45"/>
  <c r="D68" i="45"/>
  <c r="U22" i="44"/>
  <c r="U33" i="44" s="1"/>
  <c r="U13" i="44"/>
  <c r="V45" i="44" s="1"/>
  <c r="Z11" i="45" s="1"/>
  <c r="U11" i="44"/>
  <c r="H10" i="45" s="1"/>
  <c r="AH18" i="43"/>
  <c r="AG18" i="43"/>
  <c r="AF18" i="43"/>
  <c r="T52" i="43"/>
  <c r="D52" i="43"/>
  <c r="H8" i="43"/>
  <c r="U24" i="41"/>
  <c r="U22" i="41"/>
  <c r="H6" i="43" s="1"/>
  <c r="U13" i="41"/>
  <c r="H10" i="43"/>
  <c r="AH14" i="43"/>
  <c r="AF14" i="43"/>
  <c r="AH10" i="43"/>
  <c r="AF10" i="43"/>
  <c r="AB20" i="39"/>
  <c r="AB19" i="39"/>
  <c r="AA20" i="39"/>
  <c r="AA19" i="39"/>
  <c r="Z20" i="39"/>
  <c r="Z19" i="39"/>
  <c r="AA18" i="39"/>
  <c r="T52" i="39"/>
  <c r="T50" i="39"/>
  <c r="T48" i="39"/>
  <c r="L25" i="39" s="1"/>
  <c r="L62" i="39"/>
  <c r="L48" i="39"/>
  <c r="H8" i="39"/>
  <c r="U15" i="38"/>
  <c r="V49" i="38" s="1"/>
  <c r="W49" i="38" s="1"/>
  <c r="AB11" i="39" s="1"/>
  <c r="AB14" i="39"/>
  <c r="Z14" i="39"/>
  <c r="AB10" i="39"/>
  <c r="Z10" i="39"/>
  <c r="U25" i="38"/>
  <c r="U37" i="38" s="1"/>
  <c r="U11" i="38"/>
  <c r="H10" i="39" s="1"/>
  <c r="AB20" i="37"/>
  <c r="AB19" i="37"/>
  <c r="AA20" i="37"/>
  <c r="AA19" i="37"/>
  <c r="Z20" i="37"/>
  <c r="Z19" i="37"/>
  <c r="AA18" i="37"/>
  <c r="T52" i="37"/>
  <c r="T50" i="37"/>
  <c r="T48" i="37"/>
  <c r="U25" i="37" s="1"/>
  <c r="L48" i="37"/>
  <c r="H8" i="37"/>
  <c r="V48" i="36"/>
  <c r="W48" i="36" s="1"/>
  <c r="AB11" i="37" s="1"/>
  <c r="AB14" i="37"/>
  <c r="Z14" i="37"/>
  <c r="AB10" i="37"/>
  <c r="Z10" i="37"/>
  <c r="U24" i="36"/>
  <c r="U36" i="36" s="1"/>
  <c r="U11" i="36"/>
  <c r="H10" i="37" s="1"/>
  <c r="AB20" i="35"/>
  <c r="AB19" i="35"/>
  <c r="AA20" i="35"/>
  <c r="AA19" i="35"/>
  <c r="Z20" i="35"/>
  <c r="Z19" i="35"/>
  <c r="AA18" i="35"/>
  <c r="T50" i="35"/>
  <c r="T48" i="35"/>
  <c r="L25" i="35" s="1"/>
  <c r="L62" i="35"/>
  <c r="L48" i="35"/>
  <c r="H8" i="35"/>
  <c r="AB14" i="35"/>
  <c r="Z14" i="35"/>
  <c r="AB10" i="35"/>
  <c r="Z10" i="35"/>
  <c r="U25" i="34"/>
  <c r="U36" i="34" s="1"/>
  <c r="U15" i="34"/>
  <c r="V48" i="34" s="1"/>
  <c r="W48" i="34" s="1"/>
  <c r="AB11" i="35" s="1"/>
  <c r="U11" i="34"/>
  <c r="H10" i="35" s="1"/>
  <c r="T50" i="33"/>
  <c r="T48" i="33"/>
  <c r="U25" i="33" s="1"/>
  <c r="L48" i="33"/>
  <c r="H8" i="33"/>
  <c r="AB20" i="33"/>
  <c r="AB19" i="33"/>
  <c r="AA20" i="33"/>
  <c r="AA19" i="33"/>
  <c r="AA18" i="33"/>
  <c r="Z20" i="33"/>
  <c r="Z19" i="33"/>
  <c r="AB14" i="33"/>
  <c r="Z14" i="33"/>
  <c r="AB10" i="33"/>
  <c r="Z10" i="33"/>
  <c r="U24" i="32"/>
  <c r="H6" i="33" s="1"/>
  <c r="D68" i="33" s="1"/>
  <c r="U15" i="32"/>
  <c r="V47" i="32" s="1"/>
  <c r="W47" i="32" s="1"/>
  <c r="AB11" i="33" s="1"/>
  <c r="U11" i="32"/>
  <c r="H10" i="33" s="1"/>
  <c r="L62" i="31"/>
  <c r="U13" i="30"/>
  <c r="U44" i="30" s="1"/>
  <c r="AC13" i="31" s="1"/>
  <c r="AB20" i="31"/>
  <c r="AB19" i="31"/>
  <c r="AA20" i="31"/>
  <c r="AA19" i="31"/>
  <c r="AA18" i="31"/>
  <c r="Z20" i="31"/>
  <c r="Z19" i="31"/>
  <c r="T50" i="31"/>
  <c r="T48" i="31"/>
  <c r="L25" i="31" s="1"/>
  <c r="L48" i="31"/>
  <c r="H8" i="31"/>
  <c r="AB14" i="31"/>
  <c r="Z14" i="31"/>
  <c r="AB10" i="31"/>
  <c r="Z10" i="31"/>
  <c r="U23" i="30"/>
  <c r="U34" i="30" s="1"/>
  <c r="U11" i="30"/>
  <c r="H10" i="31" s="1"/>
  <c r="AA18" i="2"/>
  <c r="AB20" i="2"/>
  <c r="AA20" i="2"/>
  <c r="Z20" i="2"/>
  <c r="AB19" i="2"/>
  <c r="AA19" i="2"/>
  <c r="Z19" i="2"/>
  <c r="H8" i="2"/>
  <c r="AB14" i="2"/>
  <c r="Z14" i="2"/>
  <c r="AB10" i="2"/>
  <c r="Z10" i="2"/>
  <c r="T50" i="2"/>
  <c r="T48" i="2"/>
  <c r="L25" i="2" s="1"/>
  <c r="L48" i="2"/>
  <c r="U22" i="25"/>
  <c r="U33" i="25" s="1"/>
  <c r="U13" i="25"/>
  <c r="U24" i="25" s="1"/>
  <c r="U27" i="25" s="1"/>
  <c r="U31" i="25" s="1"/>
  <c r="V35" i="25" s="1"/>
  <c r="U11" i="25"/>
  <c r="H10" i="2" s="1"/>
  <c r="W35" i="25" l="1"/>
  <c r="AB18" i="2" s="1"/>
  <c r="Z18" i="2"/>
  <c r="H6" i="55"/>
  <c r="D68" i="55" s="1"/>
  <c r="L25" i="55"/>
  <c r="H6" i="49"/>
  <c r="D68" i="49" s="1"/>
  <c r="V50" i="94"/>
  <c r="Z11" i="95" s="1"/>
  <c r="U29" i="94"/>
  <c r="U32" i="94" s="1"/>
  <c r="V48" i="54"/>
  <c r="W48" i="54" s="1"/>
  <c r="L50" i="47"/>
  <c r="Z11" i="68"/>
  <c r="V39" i="41"/>
  <c r="W39" i="41" s="1"/>
  <c r="AH11" i="43" s="1"/>
  <c r="U45" i="97"/>
  <c r="AC12" i="98" s="1"/>
  <c r="H6" i="98"/>
  <c r="D64" i="98" s="1"/>
  <c r="U27" i="97"/>
  <c r="U31" i="97" s="1"/>
  <c r="W32" i="97" s="1"/>
  <c r="AB15" i="98" s="1"/>
  <c r="V49" i="97"/>
  <c r="Z11" i="98" s="1"/>
  <c r="D48" i="98"/>
  <c r="U17" i="97"/>
  <c r="H19" i="97" s="1"/>
  <c r="L50" i="98"/>
  <c r="U17" i="99"/>
  <c r="H19" i="99" s="1"/>
  <c r="U29" i="99"/>
  <c r="U33" i="99" s="1"/>
  <c r="U47" i="99"/>
  <c r="AC12" i="100" s="1"/>
  <c r="V51" i="99"/>
  <c r="H6" i="100"/>
  <c r="D64" i="100" s="1"/>
  <c r="U17" i="101"/>
  <c r="H19" i="101" s="1"/>
  <c r="U27" i="101"/>
  <c r="U45" i="101"/>
  <c r="AC12" i="102" s="1"/>
  <c r="V49" i="101"/>
  <c r="H6" i="102"/>
  <c r="D64" i="102" s="1"/>
  <c r="L50" i="102"/>
  <c r="U17" i="103"/>
  <c r="H19" i="103" s="1"/>
  <c r="U29" i="103"/>
  <c r="U33" i="103" s="1"/>
  <c r="U47" i="103"/>
  <c r="AC12" i="104" s="1"/>
  <c r="V51" i="103"/>
  <c r="H6" i="104"/>
  <c r="D65" i="104" s="1"/>
  <c r="U49" i="99"/>
  <c r="AC13" i="100" s="1"/>
  <c r="U49" i="103"/>
  <c r="AC13" i="104" s="1"/>
  <c r="U46" i="94"/>
  <c r="AC12" i="95" s="1"/>
  <c r="H6" i="93"/>
  <c r="D64" i="93" s="1"/>
  <c r="U44" i="92"/>
  <c r="AC12" i="93" s="1"/>
  <c r="L50" i="93"/>
  <c r="U27" i="92"/>
  <c r="D48" i="93" s="1"/>
  <c r="V48" i="92"/>
  <c r="Z11" i="93" s="1"/>
  <c r="V50" i="90"/>
  <c r="Z11" i="91" s="1"/>
  <c r="U29" i="90"/>
  <c r="U32" i="90" s="1"/>
  <c r="D48" i="91" s="1"/>
  <c r="U46" i="90"/>
  <c r="AC12" i="91" s="1"/>
  <c r="U44" i="88"/>
  <c r="AC12" i="89" s="1"/>
  <c r="L50" i="89"/>
  <c r="U27" i="88"/>
  <c r="U30" i="88" s="1"/>
  <c r="W31" i="88" s="1"/>
  <c r="AB15" i="89" s="1"/>
  <c r="V48" i="88"/>
  <c r="Z11" i="89" s="1"/>
  <c r="W33" i="94"/>
  <c r="AB15" i="95" s="1"/>
  <c r="D48" i="95"/>
  <c r="U36" i="94"/>
  <c r="V33" i="94"/>
  <c r="Z15" i="95" s="1"/>
  <c r="D48" i="89"/>
  <c r="U17" i="88"/>
  <c r="H19" i="88" s="1"/>
  <c r="U17" i="90"/>
  <c r="H19" i="90" s="1"/>
  <c r="U17" i="92"/>
  <c r="H19" i="92" s="1"/>
  <c r="U17" i="94"/>
  <c r="H19" i="94" s="1"/>
  <c r="U48" i="90"/>
  <c r="AC13" i="91" s="1"/>
  <c r="U48" i="94"/>
  <c r="AC13" i="95" s="1"/>
  <c r="U15" i="67"/>
  <c r="H17" i="67" s="1"/>
  <c r="U46" i="67"/>
  <c r="AC13" i="68" s="1"/>
  <c r="U30" i="67"/>
  <c r="U44" i="67"/>
  <c r="AC12" i="68" s="1"/>
  <c r="V46" i="65"/>
  <c r="W46" i="65" s="1"/>
  <c r="L50" i="57"/>
  <c r="U17" i="56"/>
  <c r="V49" i="56"/>
  <c r="L50" i="49"/>
  <c r="Z11" i="49"/>
  <c r="U17" i="54"/>
  <c r="H19" i="54" s="1"/>
  <c r="L50" i="55"/>
  <c r="U15" i="65"/>
  <c r="H17" i="65" s="1"/>
  <c r="U42" i="65"/>
  <c r="AC12" i="66" s="1"/>
  <c r="U25" i="65"/>
  <c r="U28" i="65" s="1"/>
  <c r="U32" i="65" s="1"/>
  <c r="D62" i="66" s="1"/>
  <c r="D64" i="66"/>
  <c r="Z11" i="64"/>
  <c r="U27" i="63"/>
  <c r="U15" i="63"/>
  <c r="H17" i="63" s="1"/>
  <c r="U36" i="63"/>
  <c r="U46" i="63"/>
  <c r="AC13" i="64" s="1"/>
  <c r="U30" i="63"/>
  <c r="U44" i="63"/>
  <c r="AC12" i="64" s="1"/>
  <c r="U44" i="61"/>
  <c r="AC13" i="62" s="1"/>
  <c r="U15" i="61"/>
  <c r="H17" i="61" s="1"/>
  <c r="L50" i="66"/>
  <c r="U25" i="61"/>
  <c r="U28" i="61" s="1"/>
  <c r="U42" i="61"/>
  <c r="AC12" i="62" s="1"/>
  <c r="V46" i="61"/>
  <c r="Z11" i="62" s="1"/>
  <c r="L50" i="64"/>
  <c r="L50" i="68"/>
  <c r="H6" i="57"/>
  <c r="D68" i="57" s="1"/>
  <c r="U27" i="56"/>
  <c r="U31" i="56" s="1"/>
  <c r="D48" i="57" s="1"/>
  <c r="U45" i="56"/>
  <c r="AC12" i="57" s="1"/>
  <c r="U26" i="54"/>
  <c r="U30" i="54" s="1"/>
  <c r="D48" i="55" s="1"/>
  <c r="U44" i="54"/>
  <c r="AC12" i="55" s="1"/>
  <c r="H6" i="51"/>
  <c r="D68" i="51" s="1"/>
  <c r="L50" i="51"/>
  <c r="U17" i="50"/>
  <c r="U45" i="48"/>
  <c r="AC13" i="49" s="1"/>
  <c r="U17" i="48"/>
  <c r="H19" i="48" s="1"/>
  <c r="U27" i="50"/>
  <c r="U30" i="50" s="1"/>
  <c r="D48" i="51" s="1"/>
  <c r="U44" i="50"/>
  <c r="AC12" i="51" s="1"/>
  <c r="V48" i="50"/>
  <c r="U26" i="48"/>
  <c r="U29" i="48" s="1"/>
  <c r="U43" i="48"/>
  <c r="AC12" i="49" s="1"/>
  <c r="V46" i="46"/>
  <c r="U15" i="46"/>
  <c r="H17" i="46" s="1"/>
  <c r="U25" i="46"/>
  <c r="U28" i="46" s="1"/>
  <c r="D48" i="47" s="1"/>
  <c r="U42" i="46"/>
  <c r="AC12" i="47" s="1"/>
  <c r="L50" i="45"/>
  <c r="W45" i="44"/>
  <c r="AB11" i="45" s="1"/>
  <c r="U43" i="44"/>
  <c r="AC13" i="45" s="1"/>
  <c r="U15" i="44"/>
  <c r="U24" i="44"/>
  <c r="U41" i="44"/>
  <c r="AC12" i="45" s="1"/>
  <c r="H6" i="2"/>
  <c r="D68" i="2" s="1"/>
  <c r="Z11" i="33"/>
  <c r="H6" i="35"/>
  <c r="D68" i="35" s="1"/>
  <c r="H6" i="39"/>
  <c r="D68" i="39" s="1"/>
  <c r="L50" i="39"/>
  <c r="U35" i="32"/>
  <c r="L50" i="33"/>
  <c r="Z11" i="35"/>
  <c r="H6" i="37"/>
  <c r="D68" i="37" s="1"/>
  <c r="Z11" i="39"/>
  <c r="D54" i="43"/>
  <c r="D56" i="43" s="1"/>
  <c r="U37" i="41"/>
  <c r="AI13" i="43" s="1"/>
  <c r="AF11" i="43"/>
  <c r="U27" i="41"/>
  <c r="U29" i="41" s="1"/>
  <c r="V31" i="41" s="1"/>
  <c r="U15" i="41"/>
  <c r="H17" i="41" s="1"/>
  <c r="U35" i="41"/>
  <c r="AI12" i="43" s="1"/>
  <c r="U17" i="38"/>
  <c r="H19" i="38" s="1"/>
  <c r="U27" i="38"/>
  <c r="U31" i="38" s="1"/>
  <c r="D48" i="39" s="1"/>
  <c r="U45" i="38"/>
  <c r="AC12" i="39" s="1"/>
  <c r="U47" i="38"/>
  <c r="AC13" i="39" s="1"/>
  <c r="Z11" i="37"/>
  <c r="L50" i="37"/>
  <c r="U25" i="30"/>
  <c r="L25" i="37"/>
  <c r="U44" i="36"/>
  <c r="AC12" i="37" s="1"/>
  <c r="U26" i="36"/>
  <c r="U30" i="36" s="1"/>
  <c r="D48" i="37" s="1"/>
  <c r="U46" i="36"/>
  <c r="AC13" i="37" s="1"/>
  <c r="U17" i="36"/>
  <c r="H19" i="36" s="1"/>
  <c r="L50" i="35"/>
  <c r="U17" i="34"/>
  <c r="H19" i="34" s="1"/>
  <c r="U27" i="34"/>
  <c r="U30" i="34" s="1"/>
  <c r="D48" i="35" s="1"/>
  <c r="U44" i="34"/>
  <c r="AC12" i="35" s="1"/>
  <c r="U46" i="34"/>
  <c r="AC13" i="35" s="1"/>
  <c r="L25" i="33"/>
  <c r="U17" i="32"/>
  <c r="H19" i="32" s="1"/>
  <c r="U45" i="32"/>
  <c r="AC13" i="33" s="1"/>
  <c r="U26" i="32"/>
  <c r="U43" i="32"/>
  <c r="AC12" i="33" s="1"/>
  <c r="L50" i="31"/>
  <c r="H6" i="31"/>
  <c r="D68" i="31" s="1"/>
  <c r="U15" i="30"/>
  <c r="H17" i="30" s="1"/>
  <c r="V46" i="30"/>
  <c r="U28" i="30"/>
  <c r="D48" i="31" s="1"/>
  <c r="U42" i="30"/>
  <c r="AC12" i="31" s="1"/>
  <c r="V28" i="25"/>
  <c r="D62" i="2"/>
  <c r="V45" i="25"/>
  <c r="L50" i="2"/>
  <c r="D48" i="2"/>
  <c r="U25" i="2"/>
  <c r="U43" i="25"/>
  <c r="AC13" i="2" s="1"/>
  <c r="U41" i="25"/>
  <c r="AC12" i="2" s="1"/>
  <c r="U15" i="25"/>
  <c r="H17" i="25" s="1"/>
  <c r="W50" i="94" l="1"/>
  <c r="AB11" i="95" s="1"/>
  <c r="U34" i="88"/>
  <c r="V31" i="88"/>
  <c r="W48" i="50"/>
  <c r="AB11" i="51" s="1"/>
  <c r="Z11" i="51"/>
  <c r="W46" i="46"/>
  <c r="AB11" i="47" s="1"/>
  <c r="Z11" i="47"/>
  <c r="V32" i="97"/>
  <c r="W49" i="97"/>
  <c r="AB11" i="98" s="1"/>
  <c r="U35" i="97"/>
  <c r="W39" i="97" s="1"/>
  <c r="AB18" i="98" s="1"/>
  <c r="Z11" i="100"/>
  <c r="W51" i="99"/>
  <c r="AB11" i="100" s="1"/>
  <c r="W34" i="99"/>
  <c r="AB15" i="100" s="1"/>
  <c r="D48" i="100"/>
  <c r="U37" i="99"/>
  <c r="V34" i="99"/>
  <c r="Z15" i="100" s="1"/>
  <c r="Z11" i="104"/>
  <c r="W51" i="103"/>
  <c r="AB11" i="104" s="1"/>
  <c r="W34" i="103"/>
  <c r="AB15" i="104" s="1"/>
  <c r="D48" i="104"/>
  <c r="U37" i="103"/>
  <c r="V34" i="103"/>
  <c r="Z15" i="104" s="1"/>
  <c r="Z11" i="102"/>
  <c r="W49" i="101"/>
  <c r="AB11" i="102" s="1"/>
  <c r="D48" i="102"/>
  <c r="U31" i="101"/>
  <c r="U30" i="92"/>
  <c r="W48" i="92"/>
  <c r="AB11" i="93" s="1"/>
  <c r="W33" i="90"/>
  <c r="AB15" i="91" s="1"/>
  <c r="W50" i="90"/>
  <c r="AB11" i="91" s="1"/>
  <c r="V33" i="90"/>
  <c r="Z15" i="91" s="1"/>
  <c r="U36" i="90"/>
  <c r="D62" i="91" s="1"/>
  <c r="W48" i="88"/>
  <c r="AB11" i="89" s="1"/>
  <c r="W31" i="92"/>
  <c r="AB15" i="93" s="1"/>
  <c r="U34" i="92"/>
  <c r="V31" i="92"/>
  <c r="W38" i="88"/>
  <c r="AB18" i="89" s="1"/>
  <c r="D62" i="89"/>
  <c r="V38" i="88"/>
  <c r="D62" i="95"/>
  <c r="W40" i="94"/>
  <c r="AB18" i="95" s="1"/>
  <c r="V40" i="94"/>
  <c r="Z18" i="95" s="1"/>
  <c r="U34" i="67"/>
  <c r="V31" i="67"/>
  <c r="Z15" i="68" s="1"/>
  <c r="W31" i="67"/>
  <c r="AB15" i="68" s="1"/>
  <c r="Z11" i="57"/>
  <c r="W49" i="56"/>
  <c r="AB11" i="57" s="1"/>
  <c r="V30" i="48"/>
  <c r="D48" i="49"/>
  <c r="AB11" i="55"/>
  <c r="Z11" i="55"/>
  <c r="V29" i="65"/>
  <c r="Z15" i="66" s="1"/>
  <c r="W29" i="65"/>
  <c r="AB15" i="66" s="1"/>
  <c r="AB11" i="66"/>
  <c r="Z11" i="66"/>
  <c r="W36" i="65"/>
  <c r="AB18" i="66" s="1"/>
  <c r="V36" i="65"/>
  <c r="Z18" i="66" s="1"/>
  <c r="U34" i="63"/>
  <c r="V31" i="63"/>
  <c r="Z15" i="64" s="1"/>
  <c r="W31" i="63"/>
  <c r="AB15" i="64" s="1"/>
  <c r="W29" i="61"/>
  <c r="D48" i="62"/>
  <c r="V29" i="61"/>
  <c r="D48" i="68"/>
  <c r="D48" i="66"/>
  <c r="D48" i="64"/>
  <c r="W46" i="61"/>
  <c r="AB11" i="62" s="1"/>
  <c r="U32" i="61"/>
  <c r="U35" i="56"/>
  <c r="V32" i="56"/>
  <c r="U34" i="54"/>
  <c r="V31" i="54"/>
  <c r="U34" i="50"/>
  <c r="V31" i="50"/>
  <c r="U33" i="48"/>
  <c r="U32" i="46"/>
  <c r="V29" i="46"/>
  <c r="U27" i="44"/>
  <c r="V28" i="44" s="1"/>
  <c r="D48" i="45"/>
  <c r="U31" i="44"/>
  <c r="U29" i="32"/>
  <c r="U33" i="32" s="1"/>
  <c r="D48" i="33"/>
  <c r="W31" i="41"/>
  <c r="AH16" i="43" s="1"/>
  <c r="AF16" i="43"/>
  <c r="V28" i="41"/>
  <c r="D48" i="43"/>
  <c r="V32" i="38"/>
  <c r="U35" i="38"/>
  <c r="V31" i="36"/>
  <c r="U34" i="36"/>
  <c r="V31" i="34"/>
  <c r="U34" i="34"/>
  <c r="W46" i="30"/>
  <c r="AB11" i="31" s="1"/>
  <c r="Z11" i="31"/>
  <c r="V29" i="30"/>
  <c r="U32" i="30"/>
  <c r="D66" i="2"/>
  <c r="D64" i="2"/>
  <c r="Z11" i="2"/>
  <c r="W45" i="25"/>
  <c r="AB11" i="2" s="1"/>
  <c r="W28" i="25"/>
  <c r="AB15" i="2" s="1"/>
  <c r="Z15" i="2"/>
  <c r="V30" i="32" l="1"/>
  <c r="D62" i="98"/>
  <c r="Z15" i="89"/>
  <c r="V36" i="46"/>
  <c r="D62" i="47"/>
  <c r="W29" i="46"/>
  <c r="AB15" i="47" s="1"/>
  <c r="Z15" i="47"/>
  <c r="W36" i="46"/>
  <c r="AB18" i="47" s="1"/>
  <c r="Z18" i="47"/>
  <c r="W31" i="50"/>
  <c r="AB15" i="51" s="1"/>
  <c r="Z15" i="51"/>
  <c r="Z15" i="98"/>
  <c r="V39" i="97"/>
  <c r="Z18" i="98" s="1"/>
  <c r="W32" i="101"/>
  <c r="AB15" i="102" s="1"/>
  <c r="U35" i="101"/>
  <c r="V32" i="101"/>
  <c r="D62" i="104"/>
  <c r="W41" i="103"/>
  <c r="AB18" i="104" s="1"/>
  <c r="V41" i="103"/>
  <c r="Z18" i="104" s="1"/>
  <c r="D62" i="100"/>
  <c r="W41" i="99"/>
  <c r="AB18" i="100" s="1"/>
  <c r="V41" i="99"/>
  <c r="Z18" i="100" s="1"/>
  <c r="W40" i="90"/>
  <c r="AB18" i="91" s="1"/>
  <c r="V40" i="90"/>
  <c r="Z18" i="91" s="1"/>
  <c r="W38" i="92"/>
  <c r="AB18" i="93" s="1"/>
  <c r="D62" i="93"/>
  <c r="V38" i="92"/>
  <c r="Z18" i="93" s="1"/>
  <c r="Z15" i="93"/>
  <c r="V38" i="67"/>
  <c r="Z18" i="68" s="1"/>
  <c r="W38" i="67"/>
  <c r="AB18" i="68" s="1"/>
  <c r="V39" i="56"/>
  <c r="D62" i="57"/>
  <c r="W32" i="56"/>
  <c r="AB15" i="57" s="1"/>
  <c r="Z15" i="57"/>
  <c r="V37" i="48"/>
  <c r="D62" i="49"/>
  <c r="W30" i="48"/>
  <c r="AB15" i="49" s="1"/>
  <c r="Z15" i="49"/>
  <c r="V38" i="54"/>
  <c r="D62" i="55"/>
  <c r="W31" i="54"/>
  <c r="AB15" i="55" s="1"/>
  <c r="Z15" i="55"/>
  <c r="D62" i="62"/>
  <c r="V36" i="61"/>
  <c r="Z18" i="62" s="1"/>
  <c r="W36" i="61"/>
  <c r="AB18" i="62" s="1"/>
  <c r="V38" i="63"/>
  <c r="W38" i="63"/>
  <c r="AB18" i="64" s="1"/>
  <c r="Z15" i="62"/>
  <c r="AB15" i="62"/>
  <c r="D62" i="64"/>
  <c r="D62" i="68"/>
  <c r="V38" i="50"/>
  <c r="D62" i="51"/>
  <c r="W28" i="44"/>
  <c r="AB15" i="45" s="1"/>
  <c r="Z15" i="45"/>
  <c r="V35" i="44"/>
  <c r="D62" i="45"/>
  <c r="V37" i="32"/>
  <c r="Z18" i="33" s="1"/>
  <c r="D62" i="33"/>
  <c r="W31" i="34"/>
  <c r="AB15" i="35" s="1"/>
  <c r="Z15" i="35"/>
  <c r="W32" i="38"/>
  <c r="AB15" i="39" s="1"/>
  <c r="Z15" i="39"/>
  <c r="W28" i="41"/>
  <c r="AH15" i="43" s="1"/>
  <c r="AF15" i="43"/>
  <c r="V39" i="38"/>
  <c r="D62" i="39"/>
  <c r="W31" i="36"/>
  <c r="AB15" i="37" s="1"/>
  <c r="Z15" i="37"/>
  <c r="V38" i="36"/>
  <c r="D62" i="37"/>
  <c r="V38" i="34"/>
  <c r="D62" i="35"/>
  <c r="W30" i="32"/>
  <c r="AB15" i="33" s="1"/>
  <c r="Z15" i="33"/>
  <c r="W37" i="32"/>
  <c r="AB18" i="33" s="1"/>
  <c r="V36" i="30"/>
  <c r="D62" i="31"/>
  <c r="W29" i="30"/>
  <c r="AB15" i="31" s="1"/>
  <c r="Z15" i="31"/>
  <c r="W36" i="30" l="1"/>
  <c r="AB18" i="31" s="1"/>
  <c r="Z18" i="31"/>
  <c r="D64" i="47"/>
  <c r="D66" i="47"/>
  <c r="W38" i="50"/>
  <c r="AB18" i="51" s="1"/>
  <c r="Z18" i="51"/>
  <c r="W39" i="101"/>
  <c r="AB18" i="102" s="1"/>
  <c r="D62" i="102"/>
  <c r="V39" i="101"/>
  <c r="Z18" i="102" s="1"/>
  <c r="Z15" i="102"/>
  <c r="D64" i="57"/>
  <c r="D66" i="57"/>
  <c r="W39" i="56"/>
  <c r="AB18" i="57" s="1"/>
  <c r="Z18" i="57"/>
  <c r="D64" i="49"/>
  <c r="D66" i="49"/>
  <c r="W37" i="48"/>
  <c r="AB18" i="49" s="1"/>
  <c r="Z18" i="49"/>
  <c r="D64" i="55"/>
  <c r="D66" i="55"/>
  <c r="W38" i="54"/>
  <c r="AB18" i="55" s="1"/>
  <c r="Z18" i="55"/>
  <c r="D64" i="51"/>
  <c r="D66" i="51"/>
  <c r="D64" i="45"/>
  <c r="D66" i="45"/>
  <c r="W35" i="44"/>
  <c r="AB18" i="45" s="1"/>
  <c r="Z18" i="45"/>
  <c r="D66" i="33"/>
  <c r="D64" i="33"/>
  <c r="W38" i="34"/>
  <c r="AB18" i="35" s="1"/>
  <c r="Z18" i="35"/>
  <c r="W39" i="38"/>
  <c r="AB18" i="39" s="1"/>
  <c r="Z18" i="39"/>
  <c r="D66" i="39"/>
  <c r="D64" i="39"/>
  <c r="W38" i="36"/>
  <c r="AB18" i="37" s="1"/>
  <c r="Z18" i="37"/>
  <c r="D64" i="37"/>
  <c r="D66" i="37"/>
  <c r="D66" i="35"/>
  <c r="D64" i="35"/>
  <c r="D66" i="31"/>
  <c r="D64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E1E452EC-EE0A-4316-8E63-7E95B3AF7B31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A3FF97C9-95C4-4950-BA79-FA0FFFA34985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ADA15EBC-EE26-4592-8BAC-69AC6BA1BC0A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627F846F-BC57-45A1-B84B-96AAD75528D1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76961495-5B34-43BC-9775-7ED69053CE5E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512690C4-C850-45B5-8FB2-F01645EAF467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A8C12445-FC58-4C89-AC5D-DA9F72EC3B09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D53E3B2E-F537-45EF-94F8-4D0A9482F0BA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8095F300-7E34-41BE-A821-7487A2E77AE5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5017541D-5757-40F9-B2CA-CEA57E9A6540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A5AC35A6-E906-4E39-B2F4-82A4FF6CE82F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52DCF7D9-9119-4890-A127-721DEFC7626F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2C80C7AC-7387-42C3-9B16-CDDA78CFADAD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85F8F302-40C8-4786-BD26-A3F67F13A570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73750A7E-905D-4B79-996C-057C087FAF65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D4BE7B83-A2CA-418E-B3EC-FB861E61C4DC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B11005CC-054D-46E0-A1F3-5BD4A797A66B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85E978EF-215E-4CE0-9226-2B7543C8539E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5E68E3B5-3420-4474-91F0-5C41E5E57742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DDD00447-D3CA-451F-9DC1-575123206027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DF24C4CF-5B71-4E64-9950-7292B77948C1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4D322D08-4EC1-4AA4-B88F-AFBEA3DCAB45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49464614-95BF-4111-B882-B64108F7763E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D9B694C5-8CFB-480B-BFE9-925FB122F805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A1E2E42C-F535-479A-8552-6F7953943FB0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A1D2657B-D700-4E40-BA16-83FAFC2CCE68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1C5DC6A2-BFC5-46B7-A1AC-9C9CB1B92658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228C2E5B-2B33-42C9-AF43-409B8D07D7AC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55019D05-5C24-4C3A-9209-924C9A12EE4C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5A1BCF76-489C-4F82-BFEA-E4FAC7BED392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3A4092A2-9FE0-4362-BE49-5203FBEE0A56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A2BD18EF-6E7C-41DC-88DD-A10AF5C6BD2D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D60D3F6A-845E-413A-89C9-C070D4E7E822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9BDFD0FD-CD41-4961-B4D4-153569451F61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B73F3BAB-E16A-4DFA-B620-76F2F286F147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D57FB936-A56A-44AB-AFD0-7C1D18DB1794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59B262E2-4C05-4A74-9377-C642C4083613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F9E270B9-A726-4919-87F8-63DB14041A58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FC7655E4-12E8-42BD-8C44-BDBA96F5847A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DB7EBBD3-978B-4FE2-846B-E4C5D58CC904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C0F9596C-AC1B-4CE8-B029-04440B44419A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196560C9-74F5-4548-A4D5-1D977B1E23E3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DDF4E565-9E1F-4FEA-B8C6-9D0114F17D63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AC528E23-9141-44BA-844C-1E137FE19D44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132DCA65-E1CA-4FDA-945F-3B888AF067B2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97F10CAA-68E0-4CE7-AA04-7ECFFF2B4267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EAB9C8BA-D13B-47DD-9E77-3DA887BF22BE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CAE241C7-30D1-4CAB-91BE-C77D9D18D953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6561D510-1E0D-4DBB-A9B0-99A07567C848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072D6018-9E83-4D21-972C-2BC78CD29A0A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A726F541-3A27-4CEB-958B-EC0DBFB61379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9CF64C42-AB26-47E5-AEC0-8D2F1F0F3DF1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4F95E64A-2B1B-4B58-9330-889972061B60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05B3CC52-D28E-4688-9B0A-07ACC4C83F13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859D943B-AD64-49E0-8D25-E812133A6384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</authors>
  <commentList>
    <comment ref="B11" authorId="0" shapeId="0" xr:uid="{410B07FB-2214-4FAF-B452-9BFD1338D1BB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884CC247-73A9-40FA-A8F6-E5FE97CD51B2}">
      <text>
        <r>
          <rPr>
            <b/>
            <sz val="9"/>
            <color indexed="81"/>
            <rFont val="Segoe UI"/>
            <family val="2"/>
          </rPr>
          <t>Hawa:</t>
        </r>
        <r>
          <rPr>
            <sz val="9"/>
            <color indexed="81"/>
            <rFont val="Segoe UI"/>
            <family val="2"/>
          </rPr>
          <t xml:space="preserve">
Oberkante Laufschiene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7FDAFAD1-7AF2-4BAB-8DDD-F00D44B68B66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013C97FF-69A1-4EC1-AF98-5F79874EAE16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2C2896D2-48E3-487C-8FB3-304745FCE6B7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59AF5E25-F574-4EF0-8406-F8FE36B3E0AA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8518AE4E-149C-4C22-B4A4-737BD51C4AEA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0A7CA957-3CBA-432B-9F4A-2720809B6B0E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351E875C-DCCC-4416-B02E-3D9F7C8C8232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793AB246-7CD2-4113-AFF4-12A4BFC511FC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AAAB886C-CABF-4600-BBB6-C43E371F5CB0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38D248DC-7DB1-47EA-AA6F-E7FD78D4DBAE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C6ED28F7-D14D-4BC2-B09C-0C1BF3FEA0C9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001276A5-1C90-4166-A98B-2A27D1CBB0A1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itschi</author>
    <author>Egger, Ralph</author>
  </authors>
  <commentList>
    <comment ref="B11" authorId="0" shapeId="0" xr:uid="{46FCA217-F53E-4075-8EE9-A8842B66C8BE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80F5F603-A6C0-4C01-BBFC-622C7ADB9D78}">
      <text>
        <r>
          <rPr>
            <b/>
            <sz val="9"/>
            <color indexed="81"/>
            <rFont val="Segoe UI"/>
            <family val="2"/>
          </rPr>
          <t>Hawa:
Durchgangslicht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5" authorId="1" shapeId="0" xr:uid="{8546F612-99F9-469C-AFE9-073AE5C33543}">
      <text>
        <r>
          <rPr>
            <b/>
            <sz val="9"/>
            <color indexed="81"/>
            <rFont val="Segoe UI"/>
            <charset val="1"/>
          </rPr>
          <t>Hawa:</t>
        </r>
        <r>
          <rPr>
            <sz val="9"/>
            <color indexed="81"/>
            <rFont val="Segoe UI"/>
            <charset val="1"/>
          </rPr>
          <t xml:space="preserve">
H = Lichte Höhe (LMH)      + F +X +46 mm
</t>
        </r>
      </text>
    </comment>
  </commentList>
</comments>
</file>

<file path=xl/sharedStrings.xml><?xml version="1.0" encoding="utf-8"?>
<sst xmlns="http://schemas.openxmlformats.org/spreadsheetml/2006/main" count="3549" uniqueCount="209">
  <si>
    <t>Junior</t>
  </si>
  <si>
    <t>Porta</t>
  </si>
  <si>
    <t>Höhe</t>
  </si>
  <si>
    <t>Hawa Junior 100 B Acoustics</t>
  </si>
  <si>
    <t>Vorwand Lösung</t>
  </si>
  <si>
    <t>Taschen Lösung</t>
  </si>
  <si>
    <t>Hawa Junior 100 B Pocket Acoustics</t>
  </si>
  <si>
    <t>Auswählen</t>
  </si>
  <si>
    <t>Home</t>
  </si>
  <si>
    <t>Detail mit Blockzarge</t>
  </si>
  <si>
    <t>Detail mit Umfassungzarge</t>
  </si>
  <si>
    <t>Art der Montage definieren</t>
  </si>
  <si>
    <t>Links 
ganzöffnend</t>
  </si>
  <si>
    <t>Links
Teilöffnend</t>
  </si>
  <si>
    <t>Rechts
ganzöffnend</t>
  </si>
  <si>
    <t>Rechts 
Teilöffnend</t>
  </si>
  <si>
    <t>Zurück</t>
  </si>
  <si>
    <t>Planungsangaben</t>
  </si>
  <si>
    <t>LMB</t>
  </si>
  <si>
    <t>mm</t>
  </si>
  <si>
    <t>(750 - 1250 mm)</t>
  </si>
  <si>
    <t xml:space="preserve">H </t>
  </si>
  <si>
    <t>(1500 - 2550 mm)</t>
  </si>
  <si>
    <t>Türstärke</t>
  </si>
  <si>
    <t>(44 - 50 mm)</t>
  </si>
  <si>
    <t xml:space="preserve">Gewicht Türblatt </t>
  </si>
  <si>
    <t>Kg/m2</t>
  </si>
  <si>
    <t>Ihr Türblattgewicht</t>
  </si>
  <si>
    <t xml:space="preserve">Dimension Auflaufprofil </t>
  </si>
  <si>
    <t>Angaben zum Türblatt</t>
  </si>
  <si>
    <t xml:space="preserve">Breite </t>
  </si>
  <si>
    <t>X</t>
  </si>
  <si>
    <t>(6 - 25 mm)</t>
  </si>
  <si>
    <t>Z</t>
  </si>
  <si>
    <t>(30 - 60 mm)</t>
  </si>
  <si>
    <t>Zuebhör (optional)</t>
  </si>
  <si>
    <t xml:space="preserve">Blendenprofil in Alu </t>
  </si>
  <si>
    <t>Blendenendstück links</t>
  </si>
  <si>
    <t>Blendenendstück rechts</t>
  </si>
  <si>
    <t>(Ja/Nein)</t>
  </si>
  <si>
    <t>Ja</t>
  </si>
  <si>
    <t>Nein</t>
  </si>
  <si>
    <t>Grösse Türblatt</t>
  </si>
  <si>
    <t>Fläche</t>
  </si>
  <si>
    <t>m2</t>
  </si>
  <si>
    <t>kg</t>
  </si>
  <si>
    <t xml:space="preserve">Daten für System </t>
  </si>
  <si>
    <t>Unterlage LS</t>
  </si>
  <si>
    <t>Länge</t>
  </si>
  <si>
    <t>Laufschiene</t>
  </si>
  <si>
    <t>mit 1x Seitenstück</t>
  </si>
  <si>
    <t>mit 2x Seitenstück</t>
  </si>
  <si>
    <t>Seiternstück</t>
  </si>
  <si>
    <t>Länge Senkdichtung</t>
  </si>
  <si>
    <t>Senkdichtung unten</t>
  </si>
  <si>
    <t>§</t>
  </si>
  <si>
    <t xml:space="preserve">LMB = </t>
  </si>
  <si>
    <t xml:space="preserve">X = </t>
  </si>
  <si>
    <t>Z =</t>
  </si>
  <si>
    <t xml:space="preserve">LS = </t>
  </si>
  <si>
    <t>ohne Seitenstück</t>
  </si>
  <si>
    <t>Blende =</t>
  </si>
  <si>
    <t xml:space="preserve">Blende = </t>
  </si>
  <si>
    <t xml:space="preserve">B = </t>
  </si>
  <si>
    <t>C =</t>
  </si>
  <si>
    <t>U =</t>
  </si>
  <si>
    <t>TH =</t>
  </si>
  <si>
    <t>Stärke (U)</t>
  </si>
  <si>
    <t xml:space="preserve">STB = </t>
  </si>
  <si>
    <t>Seitenstück =</t>
  </si>
  <si>
    <t>Stückliste</t>
  </si>
  <si>
    <t xml:space="preserve">Artikel Nr. </t>
  </si>
  <si>
    <t xml:space="preserve">Anzahl </t>
  </si>
  <si>
    <t>Bezeichnung</t>
  </si>
  <si>
    <t>Auswahl</t>
  </si>
  <si>
    <t>Ganituren</t>
  </si>
  <si>
    <t>Garnitur Junior 100</t>
  </si>
  <si>
    <t>Ganitur Porta 100</t>
  </si>
  <si>
    <t>Ganitur Porta 60</t>
  </si>
  <si>
    <t>Acoustics links</t>
  </si>
  <si>
    <t>Hawa Acoustics XS links</t>
  </si>
  <si>
    <t xml:space="preserve">Hawa Acoustics S rechts </t>
  </si>
  <si>
    <t xml:space="preserve">Hawa Acoustics M rechts </t>
  </si>
  <si>
    <t>Hawa Acoustics M links</t>
  </si>
  <si>
    <t xml:space="preserve">Hawa Acoustics L rechts </t>
  </si>
  <si>
    <t>Hawa Acoustics L links</t>
  </si>
  <si>
    <t xml:space="preserve">Hawa Acoustics XL rechts </t>
  </si>
  <si>
    <t>Acoustics rechts</t>
  </si>
  <si>
    <t xml:space="preserve">Hawa Acoustics XS rechts </t>
  </si>
  <si>
    <t>Dichtung vertikal</t>
  </si>
  <si>
    <t>Vertikaldichtung Elipse 11.5mm total 7.7 Lfm</t>
  </si>
  <si>
    <t>Zubehör</t>
  </si>
  <si>
    <t>Blendenendstück Set links</t>
  </si>
  <si>
    <t>Blendenendstück Set rechts</t>
  </si>
  <si>
    <t>Türbreite</t>
  </si>
  <si>
    <t>800 - 930</t>
  </si>
  <si>
    <t>931 - 1050</t>
  </si>
  <si>
    <t>1051- 1180</t>
  </si>
  <si>
    <t>1181 - 1300</t>
  </si>
  <si>
    <t>1301 - 1430</t>
  </si>
  <si>
    <t xml:space="preserve">Länge Blende </t>
  </si>
  <si>
    <t>Blende LS und Seitenstücke</t>
  </si>
  <si>
    <t>H =</t>
  </si>
  <si>
    <t>Höhe (TH)</t>
  </si>
  <si>
    <t>Breite (STB)</t>
  </si>
  <si>
    <t>Clip-Blende 2000 mm</t>
  </si>
  <si>
    <t>Clip-Blende 2500 mm</t>
  </si>
  <si>
    <t>Clip-Blende 3000mm</t>
  </si>
  <si>
    <t>Zuschnittmass</t>
  </si>
  <si>
    <t xml:space="preserve">Senkdichtung unten </t>
  </si>
  <si>
    <t xml:space="preserve">Hebedichtung oben </t>
  </si>
  <si>
    <t xml:space="preserve">Zum Plan </t>
  </si>
  <si>
    <t>Türeinstand Y</t>
  </si>
  <si>
    <t>(min 120 mm)</t>
  </si>
  <si>
    <t>Y =</t>
  </si>
  <si>
    <t>Ganzöffnend, links (Auflaufprofil)</t>
  </si>
  <si>
    <t>Teilöffnend, links (Auflaufprofil)</t>
  </si>
  <si>
    <t>Einbausituation auswählen - Blockzarge</t>
  </si>
  <si>
    <t>Einbausituation auswählen - Auflaufprofil</t>
  </si>
  <si>
    <t>Dimension Blockzarge</t>
  </si>
  <si>
    <t>Wandvorsprung</t>
  </si>
  <si>
    <t>Ganzöffnend, links (Blockzarge)</t>
  </si>
  <si>
    <t>Teilöffnend, links (Blockzarge)</t>
  </si>
  <si>
    <t>Ganzöffnend, links (Umfassungszarge)</t>
  </si>
  <si>
    <t>Dimension Umfassungszarge</t>
  </si>
  <si>
    <t>Zargenfalzmass</t>
  </si>
  <si>
    <t>F</t>
  </si>
  <si>
    <t>(0-20 mm)</t>
  </si>
  <si>
    <t>F =</t>
  </si>
  <si>
    <t>Teilöffnend, links (Umfassungszarge)</t>
  </si>
  <si>
    <t>Einbausituation auswählen - Umfassungszarge</t>
  </si>
  <si>
    <t xml:space="preserve">Einbausituation auswählen </t>
  </si>
  <si>
    <t>(Fixmass 30 mm)</t>
  </si>
  <si>
    <t>Federpuffer in Tasche</t>
  </si>
  <si>
    <t xml:space="preserve">T = </t>
  </si>
  <si>
    <t>Länge min.</t>
  </si>
  <si>
    <t>Wand</t>
  </si>
  <si>
    <t>Decke</t>
  </si>
  <si>
    <t>Pocket</t>
  </si>
  <si>
    <t>Set für montier- und demontierbare Laufschiene 2035 mm</t>
  </si>
  <si>
    <t>Set für montier- und demontierbare Laufschiene 2535 mm</t>
  </si>
  <si>
    <t>Set für montier- und demontierbare Laufschiene 3035 mm</t>
  </si>
  <si>
    <t>Länge Montageset</t>
  </si>
  <si>
    <t>Federpuffer für Hawa Junior 80/100</t>
  </si>
  <si>
    <t xml:space="preserve">Detail neutral 
mit Auflaufprofil </t>
  </si>
  <si>
    <t xml:space="preserve">C = </t>
  </si>
  <si>
    <t>B =</t>
  </si>
  <si>
    <t>Ganzöffnend, rechts (Blockzarge)</t>
  </si>
  <si>
    <t>Teilöffnend, rechts (Blockzarge)</t>
  </si>
  <si>
    <t>Ganzöffnend, rechts (Umfassungszarge)</t>
  </si>
  <si>
    <t>Teilöffnend, rechts (Umfassungszarge)</t>
  </si>
  <si>
    <t>Hawa Porta 100  HMD Acoustics
Hawa Porta 60 HMD Acoustics</t>
  </si>
  <si>
    <t>Hawa Porta 100 HMT Pocket Acosutics
Hawa Porta 60 HMT Pocket Acoustics</t>
  </si>
  <si>
    <t>Porta 60</t>
  </si>
  <si>
    <t>Porta 100</t>
  </si>
  <si>
    <t>057.3112.250</t>
  </si>
  <si>
    <t>057.3112.350</t>
  </si>
  <si>
    <t>Laufschiene Aluminium, eloxiert, gleocht 2500 mm</t>
  </si>
  <si>
    <t>Laufschiene Aluminium, eloxiert, gleocht 3500 mm</t>
  </si>
  <si>
    <t>057.3113.250</t>
  </si>
  <si>
    <t>057.3113.350</t>
  </si>
  <si>
    <t>Clip-Blende, Aluminium, eloxiert 2500 mm</t>
  </si>
  <si>
    <t>Blendenendstück Kunststoff
 (Li/Re)</t>
  </si>
  <si>
    <t>Blendenendstück Kunststoff, anthrazit, 95 mm</t>
  </si>
  <si>
    <t>Garnitur wählen</t>
  </si>
  <si>
    <t>Seitenstück</t>
  </si>
  <si>
    <t>Ganzöffnend, rechts (Auflaufprofil)</t>
  </si>
  <si>
    <t>Teilöffnend, rechts (Auflaufprofil)</t>
  </si>
  <si>
    <t>(39 - 45 mm)</t>
  </si>
  <si>
    <t>Clip-Blende, Aluminium, eloxiert 3500 mm</t>
  </si>
  <si>
    <t>LBM</t>
  </si>
  <si>
    <t xml:space="preserve">Dimension Blockzarge </t>
  </si>
  <si>
    <t>Links 
Teilöffnend</t>
  </si>
  <si>
    <t xml:space="preserve">                             Ganzöffnend, links </t>
  </si>
  <si>
    <t xml:space="preserve">                              Teilöffnend, links </t>
  </si>
  <si>
    <t xml:space="preserve">                             Ganzöffnend, rechts </t>
  </si>
  <si>
    <t xml:space="preserve">                            Teilöffnend, rechts</t>
  </si>
  <si>
    <t>Einbausituation auswählen</t>
  </si>
  <si>
    <t>057.3179.200</t>
  </si>
  <si>
    <t>057.3179.250</t>
  </si>
  <si>
    <t>Montage-Set Hawa Porta 60/100, 2000 mm</t>
  </si>
  <si>
    <t>Montage-Set Hawa Porta 60/100, 2500 mm</t>
  </si>
  <si>
    <t>057.3178.071</t>
  </si>
  <si>
    <t>Push-to-open Hawa Porta 100, 40–100 kg, 1 Stück</t>
  </si>
  <si>
    <t>Pora</t>
  </si>
  <si>
    <t>Federpuffer Hawa Porta 60/100</t>
  </si>
  <si>
    <t xml:space="preserve">Push to open </t>
  </si>
  <si>
    <r>
      <t xml:space="preserve">(Ja/Nein) </t>
    </r>
    <r>
      <rPr>
        <b/>
        <sz val="11"/>
        <color rgb="FFFF0000"/>
        <rFont val="Calibri"/>
        <family val="2"/>
        <scheme val="minor"/>
      </rPr>
      <t>nur bei Porta 100</t>
    </r>
    <r>
      <rPr>
        <sz val="11"/>
        <color theme="1"/>
        <rFont val="Calibri"/>
        <family val="2"/>
        <scheme val="minor"/>
      </rPr>
      <t>!</t>
    </r>
  </si>
  <si>
    <t xml:space="preserve">                             Teilöffnend, links</t>
  </si>
  <si>
    <t xml:space="preserve">                             Teilöffnend, rechts</t>
  </si>
  <si>
    <t>Detail mit Umfassungszarge</t>
  </si>
  <si>
    <t>Zubehör (optional)</t>
  </si>
  <si>
    <t>Laufschiene, eloxiert, gelocht 2000 mm</t>
  </si>
  <si>
    <t>Laufschiene, eloxiert, gelocht  2500 mm</t>
  </si>
  <si>
    <t>Laufschiene,eloxiert, gelocht  3000 mm</t>
  </si>
  <si>
    <t>LMH</t>
  </si>
  <si>
    <t xml:space="preserve">Zuebhör (optional) </t>
  </si>
  <si>
    <t>oder</t>
  </si>
  <si>
    <t>Detail Umfassungszarge</t>
  </si>
  <si>
    <t xml:space="preserve">Montagevideo Vorwand </t>
  </si>
  <si>
    <t>Montagevideo Pocket</t>
  </si>
  <si>
    <t>Hawa Acoustics S links</t>
  </si>
  <si>
    <t>Hawa Acoustics XL links</t>
  </si>
  <si>
    <t>Laufschiene, Aluminium, eloxiert, geloch, 2000 mm</t>
  </si>
  <si>
    <t>Laufschiene, Aluminium, eloxiert, geloch, 2500 mm</t>
  </si>
  <si>
    <t>Laufschiene, Aluminium, eloxiert, geloch, 2200 mm</t>
  </si>
  <si>
    <t>Laufschiene, Aluminium, eloxiert, geloch, 3000 mm</t>
  </si>
  <si>
    <t>V1.3 08.06.2022/RAE  Technische Änderungen vorbehalten. Alle Angaben ohne Gewähr.</t>
  </si>
  <si>
    <t>Planungshilfe Hawa Junior 100 Acoustics und Hawa Porta 60/100 Acoustics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</si>
</sst>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7">
    <xf numFmtId="0" fontId="0" fillId="0" borderId="0" xfId="0"/>
    <xf numFmtId="0" fontId="0" fillId="5" borderId="0" xfId="0" applyFill="1"/>
    <xf numFmtId="0" fontId="0" fillId="2" borderId="1" xfId="0" applyFill="1" applyBorder="1"/>
    <xf numFmtId="0" fontId="1" fillId="5" borderId="0" xfId="0" applyFont="1" applyFill="1"/>
    <xf numFmtId="2" fontId="0" fillId="4" borderId="1" xfId="0" applyNumberFormat="1" applyFill="1" applyBorder="1"/>
    <xf numFmtId="0" fontId="0" fillId="7" borderId="0" xfId="0" applyFill="1"/>
    <xf numFmtId="0" fontId="1" fillId="7" borderId="0" xfId="0" applyFont="1" applyFill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4" fillId="0" borderId="0" xfId="1"/>
    <xf numFmtId="0" fontId="0" fillId="9" borderId="14" xfId="0" applyFill="1" applyBorder="1"/>
    <xf numFmtId="0" fontId="0" fillId="9" borderId="0" xfId="0" applyFill="1"/>
    <xf numFmtId="0" fontId="0" fillId="10" borderId="11" xfId="0" applyFill="1" applyBorder="1"/>
    <xf numFmtId="0" fontId="2" fillId="5" borderId="0" xfId="0" applyFont="1" applyFill="1"/>
    <xf numFmtId="0" fontId="0" fillId="5" borderId="1" xfId="0" applyFill="1" applyBorder="1"/>
    <xf numFmtId="0" fontId="10" fillId="5" borderId="0" xfId="0" applyFont="1" applyFill="1"/>
    <xf numFmtId="0" fontId="11" fillId="5" borderId="0" xfId="0" applyFont="1" applyFill="1"/>
    <xf numFmtId="0" fontId="0" fillId="5" borderId="0" xfId="0" applyFill="1" applyAlignment="1">
      <alignment horizontal="center"/>
    </xf>
    <xf numFmtId="0" fontId="13" fillId="5" borderId="0" xfId="0" applyFont="1" applyFill="1"/>
    <xf numFmtId="0" fontId="14" fillId="5" borderId="0" xfId="0" applyFont="1" applyFill="1"/>
    <xf numFmtId="0" fontId="1" fillId="5" borderId="0" xfId="0" applyFont="1" applyFill="1" applyBorder="1"/>
    <xf numFmtId="0" fontId="1" fillId="5" borderId="5" xfId="0" applyFont="1" applyFill="1" applyBorder="1"/>
    <xf numFmtId="0" fontId="0" fillId="9" borderId="0" xfId="0" applyFill="1" applyAlignment="1">
      <alignment horizontal="right"/>
    </xf>
    <xf numFmtId="0" fontId="0" fillId="10" borderId="11" xfId="0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5" borderId="0" xfId="0" applyFill="1" applyProtection="1">
      <protection locked="0"/>
    </xf>
    <xf numFmtId="0" fontId="9" fillId="8" borderId="13" xfId="0" applyFont="1" applyFill="1" applyBorder="1" applyAlignment="1" applyProtection="1">
      <alignment horizontal="center" vertical="center"/>
    </xf>
    <xf numFmtId="0" fontId="0" fillId="0" borderId="0" xfId="0" applyProtection="1"/>
    <xf numFmtId="0" fontId="9" fillId="0" borderId="13" xfId="0" applyFont="1" applyBorder="1" applyAlignment="1" applyProtection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/>
    </xf>
    <xf numFmtId="0" fontId="9" fillId="0" borderId="13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4" fillId="5" borderId="15" xfId="1" applyFill="1" applyBorder="1" applyAlignment="1">
      <alignment horizontal="center"/>
    </xf>
    <xf numFmtId="0" fontId="4" fillId="5" borderId="16" xfId="1" applyFill="1" applyBorder="1" applyAlignment="1">
      <alignment horizontal="center"/>
    </xf>
    <xf numFmtId="0" fontId="4" fillId="5" borderId="17" xfId="1" applyFill="1" applyBorder="1" applyAlignment="1">
      <alignment horizontal="center"/>
    </xf>
    <xf numFmtId="0" fontId="4" fillId="5" borderId="18" xfId="1" applyFill="1" applyBorder="1" applyAlignment="1">
      <alignment horizontal="center"/>
    </xf>
    <xf numFmtId="0" fontId="4" fillId="5" borderId="0" xfId="1" applyFill="1" applyBorder="1" applyAlignment="1">
      <alignment horizontal="center"/>
    </xf>
    <xf numFmtId="0" fontId="4" fillId="5" borderId="19" xfId="1" applyFill="1" applyBorder="1" applyAlignment="1">
      <alignment horizontal="center"/>
    </xf>
    <xf numFmtId="0" fontId="4" fillId="5" borderId="20" xfId="1" applyFill="1" applyBorder="1" applyAlignment="1">
      <alignment horizontal="center"/>
    </xf>
    <xf numFmtId="0" fontId="4" fillId="5" borderId="21" xfId="1" applyFill="1" applyBorder="1" applyAlignment="1">
      <alignment horizontal="center"/>
    </xf>
    <xf numFmtId="0" fontId="4" fillId="5" borderId="22" xfId="1" applyFill="1" applyBorder="1" applyAlignment="1">
      <alignment horizontal="center"/>
    </xf>
    <xf numFmtId="0" fontId="4" fillId="5" borderId="15" xfId="1" quotePrefix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/>
    </xf>
    <xf numFmtId="0" fontId="13" fillId="9" borderId="24" xfId="0" applyFont="1" applyFill="1" applyBorder="1" applyAlignment="1">
      <alignment horizontal="center"/>
    </xf>
    <xf numFmtId="0" fontId="13" fillId="9" borderId="25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6" fillId="5" borderId="2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/>
    </xf>
    <xf numFmtId="0" fontId="5" fillId="5" borderId="3" xfId="1" applyFont="1" applyFill="1" applyBorder="1" applyAlignment="1">
      <alignment horizontal="center"/>
    </xf>
    <xf numFmtId="0" fontId="5" fillId="5" borderId="4" xfId="1" applyFont="1" applyFill="1" applyBorder="1" applyAlignment="1">
      <alignment horizontal="center"/>
    </xf>
    <xf numFmtId="0" fontId="5" fillId="5" borderId="5" xfId="1" applyFont="1" applyFill="1" applyBorder="1" applyAlignment="1">
      <alignment horizontal="center"/>
    </xf>
    <xf numFmtId="0" fontId="5" fillId="5" borderId="0" xfId="1" applyFont="1" applyFill="1" applyBorder="1" applyAlignment="1">
      <alignment horizontal="center"/>
    </xf>
    <xf numFmtId="0" fontId="5" fillId="5" borderId="6" xfId="1" applyFont="1" applyFill="1" applyBorder="1" applyAlignment="1">
      <alignment horizontal="center"/>
    </xf>
    <xf numFmtId="0" fontId="5" fillId="5" borderId="7" xfId="1" applyFont="1" applyFill="1" applyBorder="1" applyAlignment="1">
      <alignment horizontal="center"/>
    </xf>
    <xf numFmtId="0" fontId="5" fillId="5" borderId="8" xfId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5" borderId="2" xfId="1" applyFont="1" applyFill="1" applyBorder="1" applyAlignment="1">
      <alignment horizontal="center" wrapText="1"/>
    </xf>
    <xf numFmtId="0" fontId="4" fillId="5" borderId="2" xfId="1" applyFill="1" applyBorder="1" applyAlignment="1">
      <alignment horizontal="center" wrapText="1"/>
    </xf>
    <xf numFmtId="0" fontId="4" fillId="5" borderId="4" xfId="1" applyFill="1" applyBorder="1" applyAlignment="1">
      <alignment horizontal="center"/>
    </xf>
    <xf numFmtId="0" fontId="4" fillId="5" borderId="5" xfId="1" applyFill="1" applyBorder="1" applyAlignment="1">
      <alignment horizontal="center"/>
    </xf>
    <xf numFmtId="0" fontId="4" fillId="5" borderId="6" xfId="1" applyFill="1" applyBorder="1" applyAlignment="1">
      <alignment horizontal="center"/>
    </xf>
    <xf numFmtId="0" fontId="4" fillId="5" borderId="7" xfId="1" applyFill="1" applyBorder="1" applyAlignment="1">
      <alignment horizontal="center"/>
    </xf>
    <xf numFmtId="0" fontId="4" fillId="5" borderId="9" xfId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0" borderId="2" xfId="1" applyFill="1" applyBorder="1" applyAlignment="1">
      <alignment horizontal="center" wrapText="1"/>
    </xf>
    <xf numFmtId="0" fontId="4" fillId="0" borderId="4" xfId="1" applyFill="1" applyBorder="1" applyAlignment="1">
      <alignment horizontal="center"/>
    </xf>
    <xf numFmtId="0" fontId="4" fillId="0" borderId="5" xfId="1" applyFill="1" applyBorder="1" applyAlignment="1">
      <alignment horizontal="center"/>
    </xf>
    <xf numFmtId="0" fontId="4" fillId="0" borderId="6" xfId="1" applyFill="1" applyBorder="1" applyAlignment="1">
      <alignment horizontal="center"/>
    </xf>
    <xf numFmtId="0" fontId="4" fillId="0" borderId="7" xfId="1" applyFill="1" applyBorder="1" applyAlignment="1">
      <alignment horizontal="center"/>
    </xf>
    <xf numFmtId="0" fontId="4" fillId="0" borderId="9" xfId="1" applyFill="1" applyBorder="1" applyAlignment="1">
      <alignment horizontal="center"/>
    </xf>
    <xf numFmtId="0" fontId="4" fillId="0" borderId="2" xfId="1" applyBorder="1" applyAlignment="1">
      <alignment horizontal="center" wrapText="1"/>
    </xf>
    <xf numFmtId="0" fontId="4" fillId="0" borderId="4" xfId="1" applyBorder="1" applyAlignment="1">
      <alignment horizontal="center"/>
    </xf>
    <xf numFmtId="0" fontId="4" fillId="0" borderId="5" xfId="1" applyBorder="1" applyAlignment="1">
      <alignment horizontal="center"/>
    </xf>
    <xf numFmtId="0" fontId="4" fillId="0" borderId="6" xfId="1" applyBorder="1" applyAlignment="1">
      <alignment horizontal="center"/>
    </xf>
    <xf numFmtId="0" fontId="4" fillId="0" borderId="7" xfId="1" applyBorder="1" applyAlignment="1">
      <alignment horizontal="center"/>
    </xf>
    <xf numFmtId="0" fontId="4" fillId="0" borderId="9" xfId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12" fillId="5" borderId="2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3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85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hyperlink" Target="#'P P'!A1"/><Relationship Id="rId7" Type="http://schemas.openxmlformats.org/officeDocument/2006/relationships/image" Target="../media/image5.jpeg"/><Relationship Id="rId2" Type="http://schemas.openxmlformats.org/officeDocument/2006/relationships/image" Target="../media/image1.png"/><Relationship Id="rId1" Type="http://schemas.openxmlformats.org/officeDocument/2006/relationships/hyperlink" Target="#J_P!A1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Relationship Id="rId9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33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30.png"/><Relationship Id="rId5" Type="http://schemas.openxmlformats.org/officeDocument/2006/relationships/image" Target="../media/image32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4" Type="http://schemas.openxmlformats.org/officeDocument/2006/relationships/image" Target="../media/image1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37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34.png"/><Relationship Id="rId5" Type="http://schemas.openxmlformats.org/officeDocument/2006/relationships/image" Target="../media/image18.png"/><Relationship Id="rId4" Type="http://schemas.openxmlformats.org/officeDocument/2006/relationships/image" Target="../media/image3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P J B L T '!A1"/><Relationship Id="rId7" Type="http://schemas.openxmlformats.org/officeDocument/2006/relationships/image" Target="../media/image13.png"/><Relationship Id="rId2" Type="http://schemas.openxmlformats.org/officeDocument/2006/relationships/image" Target="../media/image14.png"/><Relationship Id="rId1" Type="http://schemas.openxmlformats.org/officeDocument/2006/relationships/hyperlink" Target="#'P J B L G '!A1"/><Relationship Id="rId6" Type="http://schemas.openxmlformats.org/officeDocument/2006/relationships/hyperlink" Target="#'P J B R T  '!A1"/><Relationship Id="rId5" Type="http://schemas.openxmlformats.org/officeDocument/2006/relationships/hyperlink" Target="#'P J B R G '!A1"/><Relationship Id="rId4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38.png"/><Relationship Id="rId1" Type="http://schemas.openxmlformats.org/officeDocument/2006/relationships/image" Target="../media/image16.png"/><Relationship Id="rId4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7" Type="http://schemas.openxmlformats.org/officeDocument/2006/relationships/image" Target="../media/image39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2.png"/><Relationship Id="rId5" Type="http://schemas.openxmlformats.org/officeDocument/2006/relationships/image" Target="../media/image38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24.png"/><Relationship Id="rId1" Type="http://schemas.openxmlformats.org/officeDocument/2006/relationships/image" Target="../media/image25.png"/><Relationship Id="rId4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4.png"/><Relationship Id="rId7" Type="http://schemas.openxmlformats.org/officeDocument/2006/relationships/image" Target="../media/image40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9.png"/><Relationship Id="rId5" Type="http://schemas.openxmlformats.org/officeDocument/2006/relationships/image" Target="../media/image38.png"/><Relationship Id="rId4" Type="http://schemas.openxmlformats.org/officeDocument/2006/relationships/image" Target="../media/image26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4" Type="http://schemas.openxmlformats.org/officeDocument/2006/relationships/image" Target="../media/image38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30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33.png"/><Relationship Id="rId5" Type="http://schemas.openxmlformats.org/officeDocument/2006/relationships/image" Target="../media/image42.png"/><Relationship Id="rId4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Situation J'!A1"/><Relationship Id="rId1" Type="http://schemas.openxmlformats.org/officeDocument/2006/relationships/image" Target="../media/image1.png"/><Relationship Id="rId5" Type="http://schemas.openxmlformats.org/officeDocument/2006/relationships/image" Target="../media/image9.png"/><Relationship Id="rId4" Type="http://schemas.openxmlformats.org/officeDocument/2006/relationships/hyperlink" Target="#'Art J P 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4" Type="http://schemas.openxmlformats.org/officeDocument/2006/relationships/image" Target="../media/image38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37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34.png"/><Relationship Id="rId5" Type="http://schemas.openxmlformats.org/officeDocument/2006/relationships/image" Target="../media/image38.png"/><Relationship Id="rId4" Type="http://schemas.openxmlformats.org/officeDocument/2006/relationships/image" Target="../media/image36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P J U L G  '!A1"/><Relationship Id="rId7" Type="http://schemas.openxmlformats.org/officeDocument/2006/relationships/image" Target="../media/image13.png"/><Relationship Id="rId2" Type="http://schemas.openxmlformats.org/officeDocument/2006/relationships/image" Target="../media/image15.png"/><Relationship Id="rId1" Type="http://schemas.openxmlformats.org/officeDocument/2006/relationships/hyperlink" Target="#'P J U R T '!A1"/><Relationship Id="rId6" Type="http://schemas.openxmlformats.org/officeDocument/2006/relationships/hyperlink" Target="#'P J U R G  '!A1"/><Relationship Id="rId5" Type="http://schemas.openxmlformats.org/officeDocument/2006/relationships/hyperlink" Target="#'P J U L T '!A1"/><Relationship Id="rId4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43.png"/><Relationship Id="rId1" Type="http://schemas.openxmlformats.org/officeDocument/2006/relationships/image" Target="../media/image16.png"/><Relationship Id="rId5" Type="http://schemas.openxmlformats.org/officeDocument/2006/relationships/image" Target="../media/image44.png"/><Relationship Id="rId4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png"/><Relationship Id="rId3" Type="http://schemas.openxmlformats.org/officeDocument/2006/relationships/image" Target="../media/image21.png"/><Relationship Id="rId7" Type="http://schemas.openxmlformats.org/officeDocument/2006/relationships/image" Target="../media/image46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45.png"/><Relationship Id="rId5" Type="http://schemas.openxmlformats.org/officeDocument/2006/relationships/image" Target="../media/image43.png"/><Relationship Id="rId4" Type="http://schemas.openxmlformats.org/officeDocument/2006/relationships/image" Target="../media/image4.png"/><Relationship Id="rId9" Type="http://schemas.openxmlformats.org/officeDocument/2006/relationships/image" Target="../media/image44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3.png"/><Relationship Id="rId1" Type="http://schemas.openxmlformats.org/officeDocument/2006/relationships/image" Target="../media/image25.png"/><Relationship Id="rId5" Type="http://schemas.openxmlformats.org/officeDocument/2006/relationships/image" Target="../media/image44.png"/><Relationship Id="rId4" Type="http://schemas.openxmlformats.org/officeDocument/2006/relationships/image" Target="../media/image4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3" Type="http://schemas.openxmlformats.org/officeDocument/2006/relationships/image" Target="../media/image4.png"/><Relationship Id="rId7" Type="http://schemas.openxmlformats.org/officeDocument/2006/relationships/image" Target="../media/image49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43.png"/><Relationship Id="rId5" Type="http://schemas.openxmlformats.org/officeDocument/2006/relationships/image" Target="../media/image44.png"/><Relationship Id="rId10" Type="http://schemas.openxmlformats.org/officeDocument/2006/relationships/image" Target="../media/image46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1.png"/><Relationship Id="rId1" Type="http://schemas.openxmlformats.org/officeDocument/2006/relationships/image" Target="../media/image30.png"/><Relationship Id="rId5" Type="http://schemas.openxmlformats.org/officeDocument/2006/relationships/image" Target="../media/image13.png"/><Relationship Id="rId4" Type="http://schemas.openxmlformats.org/officeDocument/2006/relationships/image" Target="../media/image43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4.png"/><Relationship Id="rId7" Type="http://schemas.openxmlformats.org/officeDocument/2006/relationships/image" Target="../media/image4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33.png"/><Relationship Id="rId5" Type="http://schemas.openxmlformats.org/officeDocument/2006/relationships/image" Target="../media/image52.png"/><Relationship Id="rId4" Type="http://schemas.openxmlformats.org/officeDocument/2006/relationships/image" Target="../media/image43.png"/><Relationship Id="rId9" Type="http://schemas.openxmlformats.org/officeDocument/2006/relationships/image" Target="../media/image5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5" Type="http://schemas.openxmlformats.org/officeDocument/2006/relationships/image" Target="../media/image51.pn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rt J B'!A1"/><Relationship Id="rId7" Type="http://schemas.openxmlformats.org/officeDocument/2006/relationships/image" Target="../media/image13.png"/><Relationship Id="rId2" Type="http://schemas.openxmlformats.org/officeDocument/2006/relationships/image" Target="../media/image10.png"/><Relationship Id="rId1" Type="http://schemas.openxmlformats.org/officeDocument/2006/relationships/hyperlink" Target="#'Art J N'!A1"/><Relationship Id="rId6" Type="http://schemas.openxmlformats.org/officeDocument/2006/relationships/image" Target="../media/image12.png"/><Relationship Id="rId5" Type="http://schemas.openxmlformats.org/officeDocument/2006/relationships/hyperlink" Target="#'Art J U'!A1"/><Relationship Id="rId4" Type="http://schemas.openxmlformats.org/officeDocument/2006/relationships/image" Target="../media/image11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3" Type="http://schemas.openxmlformats.org/officeDocument/2006/relationships/image" Target="../media/image4.png"/><Relationship Id="rId7" Type="http://schemas.openxmlformats.org/officeDocument/2006/relationships/image" Target="../media/image55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54.png"/><Relationship Id="rId5" Type="http://schemas.openxmlformats.org/officeDocument/2006/relationships/image" Target="../media/image43.png"/><Relationship Id="rId10" Type="http://schemas.openxmlformats.org/officeDocument/2006/relationships/image" Target="../media/image34.png"/><Relationship Id="rId4" Type="http://schemas.openxmlformats.org/officeDocument/2006/relationships/image" Target="../media/image26.png"/><Relationship Id="rId9" Type="http://schemas.openxmlformats.org/officeDocument/2006/relationships/image" Target="../media/image56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P J P L T '!A1"/><Relationship Id="rId7" Type="http://schemas.openxmlformats.org/officeDocument/2006/relationships/image" Target="../media/image57.png"/><Relationship Id="rId2" Type="http://schemas.openxmlformats.org/officeDocument/2006/relationships/image" Target="../media/image14.png"/><Relationship Id="rId1" Type="http://schemas.openxmlformats.org/officeDocument/2006/relationships/hyperlink" Target="#'P J P L G'!A1"/><Relationship Id="rId6" Type="http://schemas.openxmlformats.org/officeDocument/2006/relationships/hyperlink" Target="#'P J P R T'!A1"/><Relationship Id="rId5" Type="http://schemas.openxmlformats.org/officeDocument/2006/relationships/hyperlink" Target="#'P J P R G'!A1"/><Relationship Id="rId4" Type="http://schemas.openxmlformats.org/officeDocument/2006/relationships/image" Target="../media/image15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4" Type="http://schemas.openxmlformats.org/officeDocument/2006/relationships/image" Target="../media/image57.png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5.png"/><Relationship Id="rId3" Type="http://schemas.openxmlformats.org/officeDocument/2006/relationships/image" Target="../media/image61.png"/><Relationship Id="rId7" Type="http://schemas.openxmlformats.org/officeDocument/2006/relationships/image" Target="../media/image64.png"/><Relationship Id="rId12" Type="http://schemas.openxmlformats.org/officeDocument/2006/relationships/image" Target="../media/image69.png"/><Relationship Id="rId2" Type="http://schemas.openxmlformats.org/officeDocument/2006/relationships/image" Target="../media/image59.png"/><Relationship Id="rId1" Type="http://schemas.openxmlformats.org/officeDocument/2006/relationships/image" Target="../media/image4.png"/><Relationship Id="rId6" Type="http://schemas.openxmlformats.org/officeDocument/2006/relationships/image" Target="../media/image63.png"/><Relationship Id="rId11" Type="http://schemas.openxmlformats.org/officeDocument/2006/relationships/image" Target="../media/image68.png"/><Relationship Id="rId5" Type="http://schemas.openxmlformats.org/officeDocument/2006/relationships/image" Target="../media/image62.png"/><Relationship Id="rId10" Type="http://schemas.openxmlformats.org/officeDocument/2006/relationships/image" Target="../media/image67.png"/><Relationship Id="rId4" Type="http://schemas.openxmlformats.org/officeDocument/2006/relationships/image" Target="../media/image60.png"/><Relationship Id="rId9" Type="http://schemas.openxmlformats.org/officeDocument/2006/relationships/image" Target="../media/image66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9.png"/><Relationship Id="rId1" Type="http://schemas.openxmlformats.org/officeDocument/2006/relationships/image" Target="../media/image70.png"/><Relationship Id="rId4" Type="http://schemas.openxmlformats.org/officeDocument/2006/relationships/image" Target="../media/image57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png"/><Relationship Id="rId3" Type="http://schemas.openxmlformats.org/officeDocument/2006/relationships/image" Target="../media/image61.png"/><Relationship Id="rId7" Type="http://schemas.openxmlformats.org/officeDocument/2006/relationships/image" Target="../media/image65.png"/><Relationship Id="rId12" Type="http://schemas.openxmlformats.org/officeDocument/2006/relationships/image" Target="../media/image69.png"/><Relationship Id="rId2" Type="http://schemas.openxmlformats.org/officeDocument/2006/relationships/image" Target="../media/image59.png"/><Relationship Id="rId1" Type="http://schemas.openxmlformats.org/officeDocument/2006/relationships/image" Target="../media/image4.png"/><Relationship Id="rId6" Type="http://schemas.openxmlformats.org/officeDocument/2006/relationships/image" Target="../media/image64.png"/><Relationship Id="rId11" Type="http://schemas.openxmlformats.org/officeDocument/2006/relationships/image" Target="../media/image68.png"/><Relationship Id="rId5" Type="http://schemas.openxmlformats.org/officeDocument/2006/relationships/image" Target="../media/image63.png"/><Relationship Id="rId10" Type="http://schemas.openxmlformats.org/officeDocument/2006/relationships/image" Target="../media/image70.png"/><Relationship Id="rId4" Type="http://schemas.openxmlformats.org/officeDocument/2006/relationships/image" Target="../media/image62.png"/><Relationship Id="rId9" Type="http://schemas.openxmlformats.org/officeDocument/2006/relationships/image" Target="../media/image67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png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4" Type="http://schemas.openxmlformats.org/officeDocument/2006/relationships/image" Target="../media/image57.png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png"/><Relationship Id="rId13" Type="http://schemas.openxmlformats.org/officeDocument/2006/relationships/image" Target="../media/image68.png"/><Relationship Id="rId3" Type="http://schemas.openxmlformats.org/officeDocument/2006/relationships/image" Target="../media/image61.png"/><Relationship Id="rId7" Type="http://schemas.openxmlformats.org/officeDocument/2006/relationships/image" Target="../media/image66.png"/><Relationship Id="rId12" Type="http://schemas.openxmlformats.org/officeDocument/2006/relationships/image" Target="../media/image76.png"/><Relationship Id="rId2" Type="http://schemas.openxmlformats.org/officeDocument/2006/relationships/image" Target="../media/image59.png"/><Relationship Id="rId1" Type="http://schemas.openxmlformats.org/officeDocument/2006/relationships/image" Target="../media/image4.png"/><Relationship Id="rId6" Type="http://schemas.openxmlformats.org/officeDocument/2006/relationships/image" Target="../media/image72.png"/><Relationship Id="rId11" Type="http://schemas.openxmlformats.org/officeDocument/2006/relationships/image" Target="../media/image75.png"/><Relationship Id="rId5" Type="http://schemas.openxmlformats.org/officeDocument/2006/relationships/image" Target="../media/image67.png"/><Relationship Id="rId10" Type="http://schemas.openxmlformats.org/officeDocument/2006/relationships/image" Target="../media/image74.png"/><Relationship Id="rId4" Type="http://schemas.openxmlformats.org/officeDocument/2006/relationships/image" Target="../media/image65.png"/><Relationship Id="rId9" Type="http://schemas.openxmlformats.org/officeDocument/2006/relationships/image" Target="../media/image73.png"/><Relationship Id="rId14" Type="http://schemas.openxmlformats.org/officeDocument/2006/relationships/image" Target="../media/image69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png"/><Relationship Id="rId2" Type="http://schemas.openxmlformats.org/officeDocument/2006/relationships/image" Target="../media/image77.png"/><Relationship Id="rId1" Type="http://schemas.openxmlformats.org/officeDocument/2006/relationships/image" Target="../media/image71.png"/><Relationship Id="rId4" Type="http://schemas.openxmlformats.org/officeDocument/2006/relationships/image" Target="../media/image57.pn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png"/><Relationship Id="rId13" Type="http://schemas.openxmlformats.org/officeDocument/2006/relationships/image" Target="../media/image68.png"/><Relationship Id="rId3" Type="http://schemas.openxmlformats.org/officeDocument/2006/relationships/image" Target="../media/image61.png"/><Relationship Id="rId7" Type="http://schemas.openxmlformats.org/officeDocument/2006/relationships/image" Target="../media/image71.png"/><Relationship Id="rId12" Type="http://schemas.openxmlformats.org/officeDocument/2006/relationships/image" Target="../media/image76.png"/><Relationship Id="rId2" Type="http://schemas.openxmlformats.org/officeDocument/2006/relationships/image" Target="../media/image59.png"/><Relationship Id="rId1" Type="http://schemas.openxmlformats.org/officeDocument/2006/relationships/image" Target="../media/image4.png"/><Relationship Id="rId6" Type="http://schemas.openxmlformats.org/officeDocument/2006/relationships/image" Target="../media/image66.png"/><Relationship Id="rId11" Type="http://schemas.openxmlformats.org/officeDocument/2006/relationships/image" Target="../media/image67.png"/><Relationship Id="rId5" Type="http://schemas.openxmlformats.org/officeDocument/2006/relationships/image" Target="../media/image77.png"/><Relationship Id="rId10" Type="http://schemas.openxmlformats.org/officeDocument/2006/relationships/image" Target="../media/image75.png"/><Relationship Id="rId4" Type="http://schemas.openxmlformats.org/officeDocument/2006/relationships/image" Target="../media/image65.png"/><Relationship Id="rId9" Type="http://schemas.openxmlformats.org/officeDocument/2006/relationships/image" Target="../media/image74.png"/><Relationship Id="rId14" Type="http://schemas.openxmlformats.org/officeDocument/2006/relationships/image" Target="../media/image6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P J N L T'!A1"/><Relationship Id="rId7" Type="http://schemas.openxmlformats.org/officeDocument/2006/relationships/image" Target="../media/image13.png"/><Relationship Id="rId2" Type="http://schemas.openxmlformats.org/officeDocument/2006/relationships/image" Target="../media/image14.png"/><Relationship Id="rId1" Type="http://schemas.openxmlformats.org/officeDocument/2006/relationships/hyperlink" Target="#'P J N L G'!A1"/><Relationship Id="rId6" Type="http://schemas.openxmlformats.org/officeDocument/2006/relationships/hyperlink" Target="#'P J N R T '!A1"/><Relationship Id="rId5" Type="http://schemas.openxmlformats.org/officeDocument/2006/relationships/hyperlink" Target="#'P J N R G '!A1"/><Relationship Id="rId4" Type="http://schemas.openxmlformats.org/officeDocument/2006/relationships/image" Target="../media/image15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Art P P'!A1"/><Relationship Id="rId2" Type="http://schemas.openxmlformats.org/officeDocument/2006/relationships/image" Target="../media/image8.png"/><Relationship Id="rId1" Type="http://schemas.openxmlformats.org/officeDocument/2006/relationships/hyperlink" Target="#'Situation P'!A1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png"/><Relationship Id="rId3" Type="http://schemas.openxmlformats.org/officeDocument/2006/relationships/hyperlink" Target="#'Art P N '!A1"/><Relationship Id="rId7" Type="http://schemas.openxmlformats.org/officeDocument/2006/relationships/hyperlink" Target="#'Art P U '!A1"/><Relationship Id="rId2" Type="http://schemas.openxmlformats.org/officeDocument/2006/relationships/image" Target="../media/image79.png"/><Relationship Id="rId1" Type="http://schemas.openxmlformats.org/officeDocument/2006/relationships/image" Target="../media/image78.png"/><Relationship Id="rId6" Type="http://schemas.openxmlformats.org/officeDocument/2006/relationships/image" Target="../media/image81.png"/><Relationship Id="rId5" Type="http://schemas.openxmlformats.org/officeDocument/2006/relationships/hyperlink" Target="#'Art P B '!A1"/><Relationship Id="rId4" Type="http://schemas.openxmlformats.org/officeDocument/2006/relationships/image" Target="../media/image80.pn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png"/><Relationship Id="rId3" Type="http://schemas.openxmlformats.org/officeDocument/2006/relationships/hyperlink" Target="#'P P N L T '!A1"/><Relationship Id="rId7" Type="http://schemas.openxmlformats.org/officeDocument/2006/relationships/image" Target="../media/image78.png"/><Relationship Id="rId2" Type="http://schemas.openxmlformats.org/officeDocument/2006/relationships/image" Target="../media/image14.png"/><Relationship Id="rId1" Type="http://schemas.openxmlformats.org/officeDocument/2006/relationships/hyperlink" Target="#'P P N L G '!A1"/><Relationship Id="rId6" Type="http://schemas.openxmlformats.org/officeDocument/2006/relationships/hyperlink" Target="#'P P N R T '!A1"/><Relationship Id="rId5" Type="http://schemas.openxmlformats.org/officeDocument/2006/relationships/hyperlink" Target="#'P P N R G '!A1"/><Relationship Id="rId4" Type="http://schemas.openxmlformats.org/officeDocument/2006/relationships/image" Target="../media/image15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17.png"/><Relationship Id="rId1" Type="http://schemas.openxmlformats.org/officeDocument/2006/relationships/image" Target="../media/image83.png"/><Relationship Id="rId5" Type="http://schemas.openxmlformats.org/officeDocument/2006/relationships/image" Target="../media/image84.png"/><Relationship Id="rId4" Type="http://schemas.openxmlformats.org/officeDocument/2006/relationships/image" Target="../media/image79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5.png"/><Relationship Id="rId7" Type="http://schemas.openxmlformats.org/officeDocument/2006/relationships/image" Target="../media/image88.png"/><Relationship Id="rId2" Type="http://schemas.openxmlformats.org/officeDocument/2006/relationships/image" Target="../media/image84.png"/><Relationship Id="rId1" Type="http://schemas.openxmlformats.org/officeDocument/2006/relationships/image" Target="../media/image4.png"/><Relationship Id="rId6" Type="http://schemas.openxmlformats.org/officeDocument/2006/relationships/image" Target="../media/image83.png"/><Relationship Id="rId5" Type="http://schemas.openxmlformats.org/officeDocument/2006/relationships/image" Target="../media/image87.png"/><Relationship Id="rId4" Type="http://schemas.openxmlformats.org/officeDocument/2006/relationships/image" Target="../media/image86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90.png"/><Relationship Id="rId1" Type="http://schemas.openxmlformats.org/officeDocument/2006/relationships/image" Target="../media/image89.png"/><Relationship Id="rId5" Type="http://schemas.openxmlformats.org/officeDocument/2006/relationships/image" Target="../media/image79.png"/><Relationship Id="rId4" Type="http://schemas.openxmlformats.org/officeDocument/2006/relationships/image" Target="../media/image78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7" Type="http://schemas.openxmlformats.org/officeDocument/2006/relationships/image" Target="../media/image93.png"/><Relationship Id="rId2" Type="http://schemas.openxmlformats.org/officeDocument/2006/relationships/image" Target="../media/image4.png"/><Relationship Id="rId1" Type="http://schemas.openxmlformats.org/officeDocument/2006/relationships/image" Target="../media/image21.png"/><Relationship Id="rId6" Type="http://schemas.openxmlformats.org/officeDocument/2006/relationships/image" Target="../media/image92.png"/><Relationship Id="rId5" Type="http://schemas.openxmlformats.org/officeDocument/2006/relationships/image" Target="../media/image87.png"/><Relationship Id="rId4" Type="http://schemas.openxmlformats.org/officeDocument/2006/relationships/image" Target="../media/image91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5" Type="http://schemas.openxmlformats.org/officeDocument/2006/relationships/image" Target="../media/image84.png"/><Relationship Id="rId4" Type="http://schemas.openxmlformats.org/officeDocument/2006/relationships/image" Target="../media/image79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7" Type="http://schemas.openxmlformats.org/officeDocument/2006/relationships/image" Target="../media/image95.png"/><Relationship Id="rId2" Type="http://schemas.openxmlformats.org/officeDocument/2006/relationships/image" Target="../media/image4.png"/><Relationship Id="rId1" Type="http://schemas.openxmlformats.org/officeDocument/2006/relationships/image" Target="../media/image21.png"/><Relationship Id="rId6" Type="http://schemas.openxmlformats.org/officeDocument/2006/relationships/image" Target="../media/image30.png"/><Relationship Id="rId5" Type="http://schemas.openxmlformats.org/officeDocument/2006/relationships/image" Target="../media/image94.png"/><Relationship Id="rId4" Type="http://schemas.openxmlformats.org/officeDocument/2006/relationships/image" Target="../media/image87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5" Type="http://schemas.openxmlformats.org/officeDocument/2006/relationships/image" Target="../media/image84.png"/><Relationship Id="rId4" Type="http://schemas.openxmlformats.org/officeDocument/2006/relationships/image" Target="../media/image7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8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9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34.png"/><Relationship Id="rId5" Type="http://schemas.openxmlformats.org/officeDocument/2006/relationships/image" Target="../media/image84.png"/><Relationship Id="rId4" Type="http://schemas.openxmlformats.org/officeDocument/2006/relationships/image" Target="../media/image36.pn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png"/><Relationship Id="rId3" Type="http://schemas.openxmlformats.org/officeDocument/2006/relationships/hyperlink" Target="#'P P B L T '!A1"/><Relationship Id="rId7" Type="http://schemas.openxmlformats.org/officeDocument/2006/relationships/image" Target="../media/image78.png"/><Relationship Id="rId2" Type="http://schemas.openxmlformats.org/officeDocument/2006/relationships/image" Target="../media/image14.png"/><Relationship Id="rId1" Type="http://schemas.openxmlformats.org/officeDocument/2006/relationships/hyperlink" Target="#'P P B L G '!A1"/><Relationship Id="rId6" Type="http://schemas.openxmlformats.org/officeDocument/2006/relationships/hyperlink" Target="#'P P B R T '!A1"/><Relationship Id="rId5" Type="http://schemas.openxmlformats.org/officeDocument/2006/relationships/hyperlink" Target="#'P P B R G '!A1"/><Relationship Id="rId4" Type="http://schemas.openxmlformats.org/officeDocument/2006/relationships/image" Target="../media/image15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5" Type="http://schemas.openxmlformats.org/officeDocument/2006/relationships/image" Target="../media/image97.png"/><Relationship Id="rId4" Type="http://schemas.openxmlformats.org/officeDocument/2006/relationships/image" Target="../media/image79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png"/><Relationship Id="rId7" Type="http://schemas.openxmlformats.org/officeDocument/2006/relationships/image" Target="../media/image16.png"/><Relationship Id="rId2" Type="http://schemas.openxmlformats.org/officeDocument/2006/relationships/image" Target="../media/image85.png"/><Relationship Id="rId1" Type="http://schemas.openxmlformats.org/officeDocument/2006/relationships/image" Target="../media/image4.png"/><Relationship Id="rId6" Type="http://schemas.openxmlformats.org/officeDocument/2006/relationships/image" Target="../media/image98.png"/><Relationship Id="rId5" Type="http://schemas.openxmlformats.org/officeDocument/2006/relationships/image" Target="../media/image97.png"/><Relationship Id="rId4" Type="http://schemas.openxmlformats.org/officeDocument/2006/relationships/image" Target="../media/image87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9.png"/><Relationship Id="rId1" Type="http://schemas.openxmlformats.org/officeDocument/2006/relationships/image" Target="../media/image25.png"/><Relationship Id="rId5" Type="http://schemas.openxmlformats.org/officeDocument/2006/relationships/image" Target="../media/image79.png"/><Relationship Id="rId4" Type="http://schemas.openxmlformats.org/officeDocument/2006/relationships/image" Target="../media/image78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png"/><Relationship Id="rId7" Type="http://schemas.openxmlformats.org/officeDocument/2006/relationships/image" Target="../media/image100.png"/><Relationship Id="rId2" Type="http://schemas.openxmlformats.org/officeDocument/2006/relationships/image" Target="../media/image4.png"/><Relationship Id="rId1" Type="http://schemas.openxmlformats.org/officeDocument/2006/relationships/image" Target="../media/image21.png"/><Relationship Id="rId6" Type="http://schemas.openxmlformats.org/officeDocument/2006/relationships/image" Target="../media/image99.png"/><Relationship Id="rId5" Type="http://schemas.openxmlformats.org/officeDocument/2006/relationships/image" Target="../media/image97.png"/><Relationship Id="rId4" Type="http://schemas.openxmlformats.org/officeDocument/2006/relationships/image" Target="../media/image87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9.png"/><Relationship Id="rId2" Type="http://schemas.openxmlformats.org/officeDocument/2006/relationships/image" Target="../media/image78.png"/><Relationship Id="rId1" Type="http://schemas.openxmlformats.org/officeDocument/2006/relationships/image" Target="../media/image30.png"/><Relationship Id="rId5" Type="http://schemas.openxmlformats.org/officeDocument/2006/relationships/image" Target="../media/image97.png"/><Relationship Id="rId4" Type="http://schemas.openxmlformats.org/officeDocument/2006/relationships/image" Target="../media/image31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png"/><Relationship Id="rId7" Type="http://schemas.openxmlformats.org/officeDocument/2006/relationships/image" Target="../media/image95.png"/><Relationship Id="rId2" Type="http://schemas.openxmlformats.org/officeDocument/2006/relationships/image" Target="../media/image4.png"/><Relationship Id="rId1" Type="http://schemas.openxmlformats.org/officeDocument/2006/relationships/image" Target="../media/image21.png"/><Relationship Id="rId6" Type="http://schemas.openxmlformats.org/officeDocument/2006/relationships/image" Target="../media/image30.png"/><Relationship Id="rId5" Type="http://schemas.openxmlformats.org/officeDocument/2006/relationships/image" Target="../media/image101.png"/><Relationship Id="rId4" Type="http://schemas.openxmlformats.org/officeDocument/2006/relationships/image" Target="../media/image97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5" Type="http://schemas.openxmlformats.org/officeDocument/2006/relationships/image" Target="../media/image97.png"/><Relationship Id="rId4" Type="http://schemas.openxmlformats.org/officeDocument/2006/relationships/image" Target="../media/image79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9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34.png"/><Relationship Id="rId5" Type="http://schemas.openxmlformats.org/officeDocument/2006/relationships/image" Target="../media/image97.png"/><Relationship Id="rId4" Type="http://schemas.openxmlformats.org/officeDocument/2006/relationships/image" Target="../media/image3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7" Type="http://schemas.openxmlformats.org/officeDocument/2006/relationships/image" Target="../media/image23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2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.png"/><Relationship Id="rId3" Type="http://schemas.openxmlformats.org/officeDocument/2006/relationships/hyperlink" Target="#'P P U L T  '!A1"/><Relationship Id="rId7" Type="http://schemas.openxmlformats.org/officeDocument/2006/relationships/image" Target="../media/image78.png"/><Relationship Id="rId2" Type="http://schemas.openxmlformats.org/officeDocument/2006/relationships/image" Target="../media/image14.png"/><Relationship Id="rId1" Type="http://schemas.openxmlformats.org/officeDocument/2006/relationships/hyperlink" Target="#'P P U L G '!A1"/><Relationship Id="rId6" Type="http://schemas.openxmlformats.org/officeDocument/2006/relationships/hyperlink" Target="#'P P U R T '!A1"/><Relationship Id="rId5" Type="http://schemas.openxmlformats.org/officeDocument/2006/relationships/hyperlink" Target="#'P P U R G  '!A1"/><Relationship Id="rId4" Type="http://schemas.openxmlformats.org/officeDocument/2006/relationships/image" Target="../media/image15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02.png"/><Relationship Id="rId1" Type="http://schemas.openxmlformats.org/officeDocument/2006/relationships/image" Target="../media/image16.png"/><Relationship Id="rId6" Type="http://schemas.openxmlformats.org/officeDocument/2006/relationships/image" Target="../media/image44.png"/><Relationship Id="rId5" Type="http://schemas.openxmlformats.org/officeDocument/2006/relationships/image" Target="../media/image79.png"/><Relationship Id="rId4" Type="http://schemas.openxmlformats.org/officeDocument/2006/relationships/image" Target="../media/image78.png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png"/><Relationship Id="rId3" Type="http://schemas.openxmlformats.org/officeDocument/2006/relationships/image" Target="../media/image86.png"/><Relationship Id="rId7" Type="http://schemas.openxmlformats.org/officeDocument/2006/relationships/image" Target="../media/image98.png"/><Relationship Id="rId2" Type="http://schemas.openxmlformats.org/officeDocument/2006/relationships/image" Target="../media/image85.png"/><Relationship Id="rId1" Type="http://schemas.openxmlformats.org/officeDocument/2006/relationships/image" Target="../media/image4.png"/><Relationship Id="rId6" Type="http://schemas.openxmlformats.org/officeDocument/2006/relationships/image" Target="../media/image44.png"/><Relationship Id="rId5" Type="http://schemas.openxmlformats.org/officeDocument/2006/relationships/image" Target="../media/image102.png"/><Relationship Id="rId4" Type="http://schemas.openxmlformats.org/officeDocument/2006/relationships/image" Target="../media/image87.png"/><Relationship Id="rId9" Type="http://schemas.openxmlformats.org/officeDocument/2006/relationships/image" Target="../media/image46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9.png"/><Relationship Id="rId1" Type="http://schemas.openxmlformats.org/officeDocument/2006/relationships/image" Target="../media/image100.png"/><Relationship Id="rId6" Type="http://schemas.openxmlformats.org/officeDocument/2006/relationships/image" Target="../media/image44.png"/><Relationship Id="rId5" Type="http://schemas.openxmlformats.org/officeDocument/2006/relationships/image" Target="../media/image79.png"/><Relationship Id="rId4" Type="http://schemas.openxmlformats.org/officeDocument/2006/relationships/image" Target="../media/image78.png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png"/><Relationship Id="rId3" Type="http://schemas.openxmlformats.org/officeDocument/2006/relationships/image" Target="../media/image91.png"/><Relationship Id="rId7" Type="http://schemas.openxmlformats.org/officeDocument/2006/relationships/image" Target="../media/image99.png"/><Relationship Id="rId2" Type="http://schemas.openxmlformats.org/officeDocument/2006/relationships/image" Target="../media/image4.png"/><Relationship Id="rId1" Type="http://schemas.openxmlformats.org/officeDocument/2006/relationships/image" Target="../media/image21.png"/><Relationship Id="rId6" Type="http://schemas.openxmlformats.org/officeDocument/2006/relationships/image" Target="../media/image44.png"/><Relationship Id="rId5" Type="http://schemas.openxmlformats.org/officeDocument/2006/relationships/image" Target="../media/image102.png"/><Relationship Id="rId4" Type="http://schemas.openxmlformats.org/officeDocument/2006/relationships/image" Target="../media/image87.png"/><Relationship Id="rId9" Type="http://schemas.openxmlformats.org/officeDocument/2006/relationships/image" Target="../media/image46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102.png"/><Relationship Id="rId1" Type="http://schemas.openxmlformats.org/officeDocument/2006/relationships/image" Target="../media/image30.png"/><Relationship Id="rId6" Type="http://schemas.openxmlformats.org/officeDocument/2006/relationships/image" Target="../media/image51.png"/><Relationship Id="rId5" Type="http://schemas.openxmlformats.org/officeDocument/2006/relationships/image" Target="../media/image31.png"/><Relationship Id="rId4" Type="http://schemas.openxmlformats.org/officeDocument/2006/relationships/image" Target="../media/image79.pn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87.png"/><Relationship Id="rId7" Type="http://schemas.openxmlformats.org/officeDocument/2006/relationships/image" Target="../media/image95.png"/><Relationship Id="rId2" Type="http://schemas.openxmlformats.org/officeDocument/2006/relationships/image" Target="../media/image4.png"/><Relationship Id="rId1" Type="http://schemas.openxmlformats.org/officeDocument/2006/relationships/image" Target="../media/image21.png"/><Relationship Id="rId6" Type="http://schemas.openxmlformats.org/officeDocument/2006/relationships/image" Target="../media/image101.png"/><Relationship Id="rId5" Type="http://schemas.openxmlformats.org/officeDocument/2006/relationships/image" Target="../media/image51.png"/><Relationship Id="rId4" Type="http://schemas.openxmlformats.org/officeDocument/2006/relationships/image" Target="../media/image102.png"/><Relationship Id="rId9" Type="http://schemas.openxmlformats.org/officeDocument/2006/relationships/image" Target="../media/image46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102.png"/><Relationship Id="rId1" Type="http://schemas.openxmlformats.org/officeDocument/2006/relationships/image" Target="../media/image34.png"/><Relationship Id="rId6" Type="http://schemas.openxmlformats.org/officeDocument/2006/relationships/image" Target="../media/image51.png"/><Relationship Id="rId5" Type="http://schemas.openxmlformats.org/officeDocument/2006/relationships/image" Target="../media/image79.png"/><Relationship Id="rId4" Type="http://schemas.openxmlformats.org/officeDocument/2006/relationships/image" Target="../media/image78.png"/></Relationships>
</file>

<file path=xl/drawings/_rels/drawing6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3" Type="http://schemas.openxmlformats.org/officeDocument/2006/relationships/image" Target="../media/image4.png"/><Relationship Id="rId7" Type="http://schemas.openxmlformats.org/officeDocument/2006/relationships/image" Target="../media/image34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51.png"/><Relationship Id="rId5" Type="http://schemas.openxmlformats.org/officeDocument/2006/relationships/image" Target="../media/image102.png"/><Relationship Id="rId4" Type="http://schemas.openxmlformats.org/officeDocument/2006/relationships/image" Target="../media/image36.png"/><Relationship Id="rId9" Type="http://schemas.openxmlformats.org/officeDocument/2006/relationships/image" Target="../media/image96.png"/></Relationships>
</file>

<file path=xl/drawings/_rels/drawing6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5.png"/><Relationship Id="rId3" Type="http://schemas.openxmlformats.org/officeDocument/2006/relationships/hyperlink" Target="#'P P P L T '!A1"/><Relationship Id="rId7" Type="http://schemas.openxmlformats.org/officeDocument/2006/relationships/image" Target="../media/image104.png"/><Relationship Id="rId2" Type="http://schemas.openxmlformats.org/officeDocument/2006/relationships/image" Target="../media/image14.png"/><Relationship Id="rId1" Type="http://schemas.openxmlformats.org/officeDocument/2006/relationships/hyperlink" Target="#'P P P L G '!A1"/><Relationship Id="rId6" Type="http://schemas.openxmlformats.org/officeDocument/2006/relationships/hyperlink" Target="#'P P P R T'!A1"/><Relationship Id="rId5" Type="http://schemas.openxmlformats.org/officeDocument/2006/relationships/hyperlink" Target="#'P P P R G '!A1"/><Relationship Id="rId4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4" Type="http://schemas.openxmlformats.org/officeDocument/2006/relationships/image" Target="../media/image18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png"/><Relationship Id="rId2" Type="http://schemas.openxmlformats.org/officeDocument/2006/relationships/image" Target="../media/image107.png"/><Relationship Id="rId1" Type="http://schemas.openxmlformats.org/officeDocument/2006/relationships/image" Target="../media/image106.png"/><Relationship Id="rId5" Type="http://schemas.openxmlformats.org/officeDocument/2006/relationships/image" Target="../media/image105.png"/><Relationship Id="rId4" Type="http://schemas.openxmlformats.org/officeDocument/2006/relationships/image" Target="../media/image104.png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1.png"/><Relationship Id="rId13" Type="http://schemas.openxmlformats.org/officeDocument/2006/relationships/image" Target="../media/image69.png"/><Relationship Id="rId3" Type="http://schemas.openxmlformats.org/officeDocument/2006/relationships/image" Target="../media/image60.png"/><Relationship Id="rId7" Type="http://schemas.openxmlformats.org/officeDocument/2006/relationships/image" Target="../media/image110.png"/><Relationship Id="rId12" Type="http://schemas.openxmlformats.org/officeDocument/2006/relationships/image" Target="../media/image68.png"/><Relationship Id="rId2" Type="http://schemas.openxmlformats.org/officeDocument/2006/relationships/image" Target="../media/image61.png"/><Relationship Id="rId1" Type="http://schemas.openxmlformats.org/officeDocument/2006/relationships/image" Target="../media/image4.png"/><Relationship Id="rId6" Type="http://schemas.openxmlformats.org/officeDocument/2006/relationships/image" Target="../media/image109.png"/><Relationship Id="rId11" Type="http://schemas.openxmlformats.org/officeDocument/2006/relationships/image" Target="../media/image114.png"/><Relationship Id="rId5" Type="http://schemas.openxmlformats.org/officeDocument/2006/relationships/image" Target="../media/image108.png"/><Relationship Id="rId10" Type="http://schemas.openxmlformats.org/officeDocument/2006/relationships/image" Target="../media/image113.png"/><Relationship Id="rId4" Type="http://schemas.openxmlformats.org/officeDocument/2006/relationships/image" Target="../media/image106.png"/><Relationship Id="rId9" Type="http://schemas.openxmlformats.org/officeDocument/2006/relationships/image" Target="../media/image112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7.png"/><Relationship Id="rId2" Type="http://schemas.openxmlformats.org/officeDocument/2006/relationships/image" Target="../media/image106.png"/><Relationship Id="rId1" Type="http://schemas.openxmlformats.org/officeDocument/2006/relationships/image" Target="../media/image115.png"/><Relationship Id="rId5" Type="http://schemas.openxmlformats.org/officeDocument/2006/relationships/image" Target="../media/image105.png"/><Relationship Id="rId4" Type="http://schemas.openxmlformats.org/officeDocument/2006/relationships/image" Target="../media/image104.png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png"/><Relationship Id="rId13" Type="http://schemas.openxmlformats.org/officeDocument/2006/relationships/image" Target="../media/image69.png"/><Relationship Id="rId3" Type="http://schemas.openxmlformats.org/officeDocument/2006/relationships/image" Target="../media/image106.png"/><Relationship Id="rId7" Type="http://schemas.openxmlformats.org/officeDocument/2006/relationships/image" Target="../media/image111.png"/><Relationship Id="rId12" Type="http://schemas.openxmlformats.org/officeDocument/2006/relationships/image" Target="../media/image68.png"/><Relationship Id="rId2" Type="http://schemas.openxmlformats.org/officeDocument/2006/relationships/image" Target="../media/image61.png"/><Relationship Id="rId1" Type="http://schemas.openxmlformats.org/officeDocument/2006/relationships/image" Target="../media/image4.png"/><Relationship Id="rId6" Type="http://schemas.openxmlformats.org/officeDocument/2006/relationships/image" Target="../media/image110.png"/><Relationship Id="rId11" Type="http://schemas.openxmlformats.org/officeDocument/2006/relationships/image" Target="../media/image116.png"/><Relationship Id="rId5" Type="http://schemas.openxmlformats.org/officeDocument/2006/relationships/image" Target="../media/image109.png"/><Relationship Id="rId10" Type="http://schemas.openxmlformats.org/officeDocument/2006/relationships/image" Target="../media/image114.png"/><Relationship Id="rId4" Type="http://schemas.openxmlformats.org/officeDocument/2006/relationships/image" Target="../media/image108.png"/><Relationship Id="rId9" Type="http://schemas.openxmlformats.org/officeDocument/2006/relationships/image" Target="../media/image113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2" Type="http://schemas.openxmlformats.org/officeDocument/2006/relationships/image" Target="../media/image118.png"/><Relationship Id="rId1" Type="http://schemas.openxmlformats.org/officeDocument/2006/relationships/image" Target="../media/image117.png"/><Relationship Id="rId5" Type="http://schemas.openxmlformats.org/officeDocument/2006/relationships/image" Target="../media/image105.png"/><Relationship Id="rId4" Type="http://schemas.openxmlformats.org/officeDocument/2006/relationships/image" Target="../media/image104.pn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png"/><Relationship Id="rId13" Type="http://schemas.openxmlformats.org/officeDocument/2006/relationships/image" Target="../media/image122.png"/><Relationship Id="rId3" Type="http://schemas.openxmlformats.org/officeDocument/2006/relationships/image" Target="../media/image106.png"/><Relationship Id="rId7" Type="http://schemas.openxmlformats.org/officeDocument/2006/relationships/image" Target="../media/image118.png"/><Relationship Id="rId12" Type="http://schemas.openxmlformats.org/officeDocument/2006/relationships/image" Target="../media/image121.png"/><Relationship Id="rId2" Type="http://schemas.openxmlformats.org/officeDocument/2006/relationships/image" Target="../media/image61.png"/><Relationship Id="rId16" Type="http://schemas.openxmlformats.org/officeDocument/2006/relationships/image" Target="../media/image69.png"/><Relationship Id="rId1" Type="http://schemas.openxmlformats.org/officeDocument/2006/relationships/image" Target="../media/image4.png"/><Relationship Id="rId6" Type="http://schemas.openxmlformats.org/officeDocument/2006/relationships/image" Target="../media/image112.png"/><Relationship Id="rId11" Type="http://schemas.openxmlformats.org/officeDocument/2006/relationships/image" Target="../media/image120.png"/><Relationship Id="rId5" Type="http://schemas.openxmlformats.org/officeDocument/2006/relationships/image" Target="../media/image111.png"/><Relationship Id="rId15" Type="http://schemas.openxmlformats.org/officeDocument/2006/relationships/image" Target="../media/image68.png"/><Relationship Id="rId10" Type="http://schemas.openxmlformats.org/officeDocument/2006/relationships/image" Target="../media/image119.png"/><Relationship Id="rId4" Type="http://schemas.openxmlformats.org/officeDocument/2006/relationships/image" Target="../media/image108.png"/><Relationship Id="rId9" Type="http://schemas.openxmlformats.org/officeDocument/2006/relationships/image" Target="../media/image117.png"/><Relationship Id="rId14" Type="http://schemas.openxmlformats.org/officeDocument/2006/relationships/image" Target="../media/image12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7.png"/><Relationship Id="rId2" Type="http://schemas.openxmlformats.org/officeDocument/2006/relationships/image" Target="../media/image106.png"/><Relationship Id="rId1" Type="http://schemas.openxmlformats.org/officeDocument/2006/relationships/image" Target="../media/image124.png"/><Relationship Id="rId5" Type="http://schemas.openxmlformats.org/officeDocument/2006/relationships/image" Target="../media/image105.png"/><Relationship Id="rId4" Type="http://schemas.openxmlformats.org/officeDocument/2006/relationships/image" Target="../media/image104.png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png"/><Relationship Id="rId13" Type="http://schemas.openxmlformats.org/officeDocument/2006/relationships/image" Target="../media/image117.png"/><Relationship Id="rId3" Type="http://schemas.openxmlformats.org/officeDocument/2006/relationships/image" Target="../media/image106.png"/><Relationship Id="rId7" Type="http://schemas.openxmlformats.org/officeDocument/2006/relationships/image" Target="../media/image108.png"/><Relationship Id="rId12" Type="http://schemas.openxmlformats.org/officeDocument/2006/relationships/image" Target="../media/image123.png"/><Relationship Id="rId2" Type="http://schemas.openxmlformats.org/officeDocument/2006/relationships/image" Target="../media/image61.png"/><Relationship Id="rId16" Type="http://schemas.openxmlformats.org/officeDocument/2006/relationships/image" Target="../media/image69.png"/><Relationship Id="rId1" Type="http://schemas.openxmlformats.org/officeDocument/2006/relationships/image" Target="../media/image4.png"/><Relationship Id="rId6" Type="http://schemas.openxmlformats.org/officeDocument/2006/relationships/image" Target="../media/image112.png"/><Relationship Id="rId11" Type="http://schemas.openxmlformats.org/officeDocument/2006/relationships/image" Target="../media/image122.png"/><Relationship Id="rId5" Type="http://schemas.openxmlformats.org/officeDocument/2006/relationships/image" Target="../media/image111.png"/><Relationship Id="rId15" Type="http://schemas.openxmlformats.org/officeDocument/2006/relationships/image" Target="../media/image68.png"/><Relationship Id="rId10" Type="http://schemas.openxmlformats.org/officeDocument/2006/relationships/image" Target="../media/image121.png"/><Relationship Id="rId4" Type="http://schemas.openxmlformats.org/officeDocument/2006/relationships/image" Target="../media/image124.png"/><Relationship Id="rId9" Type="http://schemas.openxmlformats.org/officeDocument/2006/relationships/image" Target="../media/image120.png"/><Relationship Id="rId14" Type="http://schemas.openxmlformats.org/officeDocument/2006/relationships/image" Target="../media/image119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4.png"/><Relationship Id="rId7" Type="http://schemas.openxmlformats.org/officeDocument/2006/relationships/image" Target="../media/image28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7.png"/><Relationship Id="rId5" Type="http://schemas.openxmlformats.org/officeDocument/2006/relationships/image" Target="../media/image18.png"/><Relationship Id="rId4" Type="http://schemas.openxmlformats.org/officeDocument/2006/relationships/image" Target="../media/image2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7</xdr:row>
      <xdr:rowOff>133350</xdr:rowOff>
    </xdr:from>
    <xdr:to>
      <xdr:col>4</xdr:col>
      <xdr:colOff>752801</xdr:colOff>
      <xdr:row>12</xdr:row>
      <xdr:rowOff>76325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6850" y="1466850"/>
          <a:ext cx="2333951" cy="895475"/>
        </a:xfrm>
        <a:prstGeom prst="rect">
          <a:avLst/>
        </a:prstGeom>
      </xdr:spPr>
    </xdr:pic>
    <xdr:clientData/>
  </xdr:twoCellAnchor>
  <xdr:twoCellAnchor>
    <xdr:from>
      <xdr:col>7</xdr:col>
      <xdr:colOff>628650</xdr:colOff>
      <xdr:row>6</xdr:row>
      <xdr:rowOff>9525</xdr:rowOff>
    </xdr:from>
    <xdr:to>
      <xdr:col>10</xdr:col>
      <xdr:colOff>533706</xdr:colOff>
      <xdr:row>15</xdr:row>
      <xdr:rowOff>47746</xdr:rowOff>
    </xdr:to>
    <xdr:grpSp>
      <xdr:nvGrpSpPr>
        <xdr:cNvPr id="5" name="Gruppier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5660091" y="1992966"/>
          <a:ext cx="2191056" cy="1752721"/>
          <a:chOff x="5657850" y="1990725"/>
          <a:chExt cx="2191056" cy="1752721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657850" y="1990725"/>
            <a:ext cx="2191056" cy="828791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5743575" y="2876550"/>
            <a:ext cx="2048161" cy="866896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</xdr:colOff>
      <xdr:row>0</xdr:row>
      <xdr:rowOff>85726</xdr:rowOff>
    </xdr:from>
    <xdr:to>
      <xdr:col>2</xdr:col>
      <xdr:colOff>457201</xdr:colOff>
      <xdr:row>1</xdr:row>
      <xdr:rowOff>742774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85726"/>
          <a:ext cx="1219200" cy="847548"/>
        </a:xfrm>
        <a:prstGeom prst="rect">
          <a:avLst/>
        </a:prstGeom>
      </xdr:spPr>
    </xdr:pic>
    <xdr:clientData/>
  </xdr:twoCellAnchor>
  <xdr:oneCellAnchor>
    <xdr:from>
      <xdr:col>24</xdr:col>
      <xdr:colOff>107576</xdr:colOff>
      <xdr:row>24</xdr:row>
      <xdr:rowOff>224676</xdr:rowOff>
    </xdr:from>
    <xdr:ext cx="1814793" cy="1814793"/>
    <xdr:pic>
      <xdr:nvPicPr>
        <xdr:cNvPr id="11" name="Grafik 10">
          <a:extLst>
            <a:ext uri="{FF2B5EF4-FFF2-40B4-BE49-F238E27FC236}">
              <a16:creationId xmlns:a16="http://schemas.microsoft.com/office/drawing/2014/main" id="{7348B230-CDAC-494C-9776-32A62FAC6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3017" y="5883647"/>
          <a:ext cx="1814793" cy="1814793"/>
        </a:xfrm>
        <a:prstGeom prst="rect">
          <a:avLst/>
        </a:prstGeom>
        <a:ln>
          <a:solidFill>
            <a:schemeClr val="tx2"/>
          </a:solidFill>
        </a:ln>
      </xdr:spPr>
    </xdr:pic>
    <xdr:clientData/>
  </xdr:oneCellAnchor>
  <xdr:oneCellAnchor>
    <xdr:from>
      <xdr:col>24</xdr:col>
      <xdr:colOff>107576</xdr:colOff>
      <xdr:row>13</xdr:row>
      <xdr:rowOff>159616</xdr:rowOff>
    </xdr:from>
    <xdr:ext cx="1771650" cy="2145433"/>
    <xdr:pic>
      <xdr:nvPicPr>
        <xdr:cNvPr id="12" name="Grafik 11">
          <a:extLst>
            <a:ext uri="{FF2B5EF4-FFF2-40B4-BE49-F238E27FC236}">
              <a16:creationId xmlns:a16="http://schemas.microsoft.com/office/drawing/2014/main" id="{6DA024F3-952B-4005-8A34-A677F7D003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96" r="13426"/>
        <a:stretch/>
      </xdr:blipFill>
      <xdr:spPr>
        <a:xfrm>
          <a:off x="18093017" y="3476557"/>
          <a:ext cx="1771650" cy="2145433"/>
        </a:xfrm>
        <a:prstGeom prst="rect">
          <a:avLst/>
        </a:prstGeom>
        <a:ln>
          <a:solidFill>
            <a:schemeClr val="tx2"/>
          </a:solidFill>
        </a:ln>
      </xdr:spPr>
    </xdr:pic>
    <xdr:clientData/>
  </xdr:oneCellAnchor>
  <xdr:oneCellAnchor>
    <xdr:from>
      <xdr:col>13</xdr:col>
      <xdr:colOff>141193</xdr:colOff>
      <xdr:row>1</xdr:row>
      <xdr:rowOff>451597</xdr:rowOff>
    </xdr:from>
    <xdr:ext cx="8050866" cy="7166301"/>
    <xdr:pic>
      <xdr:nvPicPr>
        <xdr:cNvPr id="13" name="Grafik 12">
          <a:extLst>
            <a:ext uri="{FF2B5EF4-FFF2-40B4-BE49-F238E27FC236}">
              <a16:creationId xmlns:a16="http://schemas.microsoft.com/office/drawing/2014/main" id="{5DEFCF8A-90B4-49BF-B8A5-414B7B027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744634" y="642097"/>
          <a:ext cx="8050866" cy="7166301"/>
        </a:xfrm>
        <a:prstGeom prst="rect">
          <a:avLst/>
        </a:prstGeom>
        <a:ln>
          <a:solidFill>
            <a:schemeClr val="tx2"/>
          </a:solidFill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6350"/>
          <a:ext cx="1775012" cy="2564530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>
    <xdr:from>
      <xdr:col>1</xdr:col>
      <xdr:colOff>1809751</xdr:colOff>
      <xdr:row>4</xdr:row>
      <xdr:rowOff>27214</xdr:rowOff>
    </xdr:from>
    <xdr:to>
      <xdr:col>5</xdr:col>
      <xdr:colOff>585108</xdr:colOff>
      <xdr:row>42</xdr:row>
      <xdr:rowOff>149679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13858" y="843643"/>
          <a:ext cx="3061607" cy="7157357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408214</xdr:colOff>
      <xdr:row>51</xdr:row>
      <xdr:rowOff>68036</xdr:rowOff>
    </xdr:from>
    <xdr:to>
      <xdr:col>17</xdr:col>
      <xdr:colOff>617340</xdr:colOff>
      <xdr:row>60</xdr:row>
      <xdr:rowOff>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13714" y="9525000"/>
          <a:ext cx="5896912" cy="1646464"/>
        </a:xfrm>
        <a:prstGeom prst="rect">
          <a:avLst/>
        </a:prstGeom>
      </xdr:spPr>
    </xdr:pic>
    <xdr:clientData/>
  </xdr:twoCellAnchor>
  <xdr:twoCellAnchor editAs="oneCell">
    <xdr:from>
      <xdr:col>18</xdr:col>
      <xdr:colOff>435430</xdr:colOff>
      <xdr:row>51</xdr:row>
      <xdr:rowOff>13607</xdr:rowOff>
    </xdr:from>
    <xdr:to>
      <xdr:col>22</xdr:col>
      <xdr:colOff>136980</xdr:colOff>
      <xdr:row>66</xdr:row>
      <xdr:rowOff>47806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b="945"/>
        <a:stretch/>
      </xdr:blipFill>
      <xdr:spPr bwMode="auto">
        <a:xfrm>
          <a:off x="12845144" y="9470571"/>
          <a:ext cx="2749550" cy="2673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231322</xdr:colOff>
      <xdr:row>5</xdr:row>
      <xdr:rowOff>108857</xdr:rowOff>
    </xdr:from>
    <xdr:to>
      <xdr:col>23</xdr:col>
      <xdr:colOff>102327</xdr:colOff>
      <xdr:row>22</xdr:row>
      <xdr:rowOff>102145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b="60258"/>
        <a:stretch/>
      </xdr:blipFill>
      <xdr:spPr bwMode="auto">
        <a:xfrm>
          <a:off x="7429501" y="1115786"/>
          <a:ext cx="8892540" cy="302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231322</xdr:colOff>
      <xdr:row>25</xdr:row>
      <xdr:rowOff>13610</xdr:rowOff>
    </xdr:from>
    <xdr:to>
      <xdr:col>23</xdr:col>
      <xdr:colOff>101057</xdr:colOff>
      <xdr:row>35</xdr:row>
      <xdr:rowOff>161565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0082" b="32967"/>
        <a:stretch/>
      </xdr:blipFill>
      <xdr:spPr bwMode="auto">
        <a:xfrm>
          <a:off x="7429501" y="4626431"/>
          <a:ext cx="8891270" cy="20529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231322</xdr:colOff>
      <xdr:row>35</xdr:row>
      <xdr:rowOff>149679</xdr:rowOff>
    </xdr:from>
    <xdr:to>
      <xdr:col>23</xdr:col>
      <xdr:colOff>99787</xdr:colOff>
      <xdr:row>46</xdr:row>
      <xdr:rowOff>141424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71446" b="1146"/>
        <a:stretch/>
      </xdr:blipFill>
      <xdr:spPr bwMode="auto">
        <a:xfrm>
          <a:off x="7429501" y="6667500"/>
          <a:ext cx="8890000" cy="20872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123264</xdr:colOff>
      <xdr:row>19</xdr:row>
      <xdr:rowOff>313764</xdr:rowOff>
    </xdr:from>
    <xdr:to>
      <xdr:col>14</xdr:col>
      <xdr:colOff>33616</xdr:colOff>
      <xdr:row>31</xdr:row>
      <xdr:rowOff>92874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645"/>
        <a:stretch/>
      </xdr:blipFill>
      <xdr:spPr bwMode="auto">
        <a:xfrm>
          <a:off x="7978588" y="3417793"/>
          <a:ext cx="2196352" cy="19194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8</xdr:row>
      <xdr:rowOff>38101</xdr:rowOff>
    </xdr:from>
    <xdr:to>
      <xdr:col>14</xdr:col>
      <xdr:colOff>552450</xdr:colOff>
      <xdr:row>18</xdr:row>
      <xdr:rowOff>141795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1609726"/>
          <a:ext cx="3657600" cy="143719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47625</xdr:rowOff>
    </xdr:from>
    <xdr:to>
      <xdr:col>4</xdr:col>
      <xdr:colOff>247649</xdr:colOff>
      <xdr:row>4</xdr:row>
      <xdr:rowOff>173199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" y="42862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28575</xdr:rowOff>
    </xdr:from>
    <xdr:to>
      <xdr:col>4</xdr:col>
      <xdr:colOff>219074</xdr:colOff>
      <xdr:row>4</xdr:row>
      <xdr:rowOff>154149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8</xdr:row>
      <xdr:rowOff>28575</xdr:rowOff>
    </xdr:from>
    <xdr:to>
      <xdr:col>13</xdr:col>
      <xdr:colOff>123825</xdr:colOff>
      <xdr:row>9</xdr:row>
      <xdr:rowOff>70757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8982075" y="16002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171450</xdr:colOff>
      <xdr:row>13</xdr:row>
      <xdr:rowOff>38100</xdr:rowOff>
    </xdr:from>
    <xdr:to>
      <xdr:col>11</xdr:col>
      <xdr:colOff>638175</xdr:colOff>
      <xdr:row>19</xdr:row>
      <xdr:rowOff>57150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CxnSpPr/>
      </xdr:nvCxnSpPr>
      <xdr:spPr>
        <a:xfrm flipH="1" flipV="1">
          <a:off x="8029575" y="2333625"/>
          <a:ext cx="466725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68647</xdr:colOff>
      <xdr:row>19</xdr:row>
      <xdr:rowOff>270970</xdr:rowOff>
    </xdr:from>
    <xdr:to>
      <xdr:col>12</xdr:col>
      <xdr:colOff>468697</xdr:colOff>
      <xdr:row>20</xdr:row>
      <xdr:rowOff>80470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8693699" y="3378091"/>
          <a:ext cx="4000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133020</xdr:colOff>
      <xdr:row>19</xdr:row>
      <xdr:rowOff>238125</xdr:rowOff>
    </xdr:from>
    <xdr:to>
      <xdr:col>11</xdr:col>
      <xdr:colOff>426981</xdr:colOff>
      <xdr:row>24</xdr:row>
      <xdr:rowOff>164224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7996072" y="3345246"/>
          <a:ext cx="293961" cy="84575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590550</xdr:colOff>
      <xdr:row>14</xdr:row>
      <xdr:rowOff>123825</xdr:rowOff>
    </xdr:from>
    <xdr:to>
      <xdr:col>11</xdr:col>
      <xdr:colOff>104775</xdr:colOff>
      <xdr:row>16</xdr:row>
      <xdr:rowOff>89807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7439025" y="249555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14</xdr:col>
      <xdr:colOff>627530</xdr:colOff>
      <xdr:row>10</xdr:row>
      <xdr:rowOff>134471</xdr:rowOff>
    </xdr:from>
    <xdr:to>
      <xdr:col>17</xdr:col>
      <xdr:colOff>494639</xdr:colOff>
      <xdr:row>43</xdr:row>
      <xdr:rowOff>91890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8854" y="1972236"/>
          <a:ext cx="2153109" cy="5089713"/>
        </a:xfrm>
        <a:prstGeom prst="rect">
          <a:avLst/>
        </a:prstGeom>
      </xdr:spPr>
    </xdr:pic>
    <xdr:clientData/>
  </xdr:twoCellAnchor>
  <xdr:twoCellAnchor>
    <xdr:from>
      <xdr:col>15</xdr:col>
      <xdr:colOff>123267</xdr:colOff>
      <xdr:row>26</xdr:row>
      <xdr:rowOff>156885</xdr:rowOff>
    </xdr:from>
    <xdr:to>
      <xdr:col>15</xdr:col>
      <xdr:colOff>336178</xdr:colOff>
      <xdr:row>28</xdr:row>
      <xdr:rowOff>145679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1026591" y="4560797"/>
          <a:ext cx="212911" cy="3697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6350"/>
          <a:ext cx="1775012" cy="2564530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-1</xdr:colOff>
      <xdr:row>51</xdr:row>
      <xdr:rowOff>168090</xdr:rowOff>
    </xdr:from>
    <xdr:to>
      <xdr:col>18</xdr:col>
      <xdr:colOff>212911</xdr:colOff>
      <xdr:row>59</xdr:row>
      <xdr:rowOff>145786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92470" y="9603443"/>
          <a:ext cx="5636559" cy="1501696"/>
        </a:xfrm>
        <a:prstGeom prst="rect">
          <a:avLst/>
        </a:prstGeom>
      </xdr:spPr>
    </xdr:pic>
    <xdr:clientData/>
  </xdr:twoCellAnchor>
  <xdr:twoCellAnchor>
    <xdr:from>
      <xdr:col>1</xdr:col>
      <xdr:colOff>1782536</xdr:colOff>
      <xdr:row>4</xdr:row>
      <xdr:rowOff>40821</xdr:rowOff>
    </xdr:from>
    <xdr:to>
      <xdr:col>5</xdr:col>
      <xdr:colOff>557893</xdr:colOff>
      <xdr:row>42</xdr:row>
      <xdr:rowOff>163286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6643" y="857250"/>
          <a:ext cx="3061607" cy="7157357"/>
        </a:xfrm>
        <a:prstGeom prst="rect">
          <a:avLst/>
        </a:prstGeom>
      </xdr:spPr>
    </xdr:pic>
    <xdr:clientData/>
  </xdr:twoCellAnchor>
  <xdr:twoCellAnchor editAs="oneCell">
    <xdr:from>
      <xdr:col>18</xdr:col>
      <xdr:colOff>653144</xdr:colOff>
      <xdr:row>52</xdr:row>
      <xdr:rowOff>54429</xdr:rowOff>
    </xdr:from>
    <xdr:to>
      <xdr:col>22</xdr:col>
      <xdr:colOff>54429</xdr:colOff>
      <xdr:row>64</xdr:row>
      <xdr:rowOff>17763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645"/>
        <a:stretch/>
      </xdr:blipFill>
      <xdr:spPr bwMode="auto">
        <a:xfrm>
          <a:off x="13062858" y="9701893"/>
          <a:ext cx="2449285" cy="214047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149680</xdr:colOff>
      <xdr:row>4</xdr:row>
      <xdr:rowOff>13607</xdr:rowOff>
    </xdr:from>
    <xdr:to>
      <xdr:col>23</xdr:col>
      <xdr:colOff>20050</xdr:colOff>
      <xdr:row>20</xdr:row>
      <xdr:rowOff>189775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r="1014" b="59726"/>
        <a:stretch/>
      </xdr:blipFill>
      <xdr:spPr bwMode="auto">
        <a:xfrm>
          <a:off x="7347859" y="830036"/>
          <a:ext cx="8891905" cy="30200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149680</xdr:colOff>
      <xdr:row>25</xdr:row>
      <xdr:rowOff>27215</xdr:rowOff>
    </xdr:from>
    <xdr:to>
      <xdr:col>23</xdr:col>
      <xdr:colOff>20050</xdr:colOff>
      <xdr:row>35</xdr:row>
      <xdr:rowOff>97700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1453" r="1014" b="32198"/>
        <a:stretch/>
      </xdr:blipFill>
      <xdr:spPr bwMode="auto">
        <a:xfrm>
          <a:off x="7347859" y="4640036"/>
          <a:ext cx="8891905" cy="19754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149680</xdr:colOff>
      <xdr:row>35</xdr:row>
      <xdr:rowOff>163285</xdr:rowOff>
    </xdr:from>
    <xdr:to>
      <xdr:col>23</xdr:col>
      <xdr:colOff>20050</xdr:colOff>
      <xdr:row>46</xdr:row>
      <xdr:rowOff>104230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72836" r="1014"/>
        <a:stretch/>
      </xdr:blipFill>
      <xdr:spPr bwMode="auto">
        <a:xfrm>
          <a:off x="7347859" y="6681106"/>
          <a:ext cx="8891905" cy="20364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" name="Gruppier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6" name="Gruppier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Pfeil: nach rechts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10" name="Gruppier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" name="Pfeil: nach rechts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14" name="Gruppieren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0C00-00000F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0C00-000010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Pfeil: nach rechts 16">
            <a:extLst>
              <a:ext uri="{FF2B5EF4-FFF2-40B4-BE49-F238E27FC236}">
                <a16:creationId xmlns:a16="http://schemas.microsoft.com/office/drawing/2014/main" id="{00000000-0008-0000-0C00-000011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36635</xdr:colOff>
      <xdr:row>2</xdr:row>
      <xdr:rowOff>43961</xdr:rowOff>
    </xdr:from>
    <xdr:to>
      <xdr:col>5</xdr:col>
      <xdr:colOff>397119</xdr:colOff>
      <xdr:row>4</xdr:row>
      <xdr:rowOff>169535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8635" y="424961"/>
          <a:ext cx="2895599" cy="5065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280148</xdr:colOff>
      <xdr:row>20</xdr:row>
      <xdr:rowOff>78442</xdr:rowOff>
    </xdr:from>
    <xdr:to>
      <xdr:col>15</xdr:col>
      <xdr:colOff>67236</xdr:colOff>
      <xdr:row>32</xdr:row>
      <xdr:rowOff>37012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2795" y="3372971"/>
          <a:ext cx="2073088" cy="2098894"/>
        </a:xfrm>
        <a:prstGeom prst="rect">
          <a:avLst/>
        </a:prstGeom>
      </xdr:spPr>
    </xdr:pic>
    <xdr:clientData/>
  </xdr:twoCellAnchor>
  <xdr:twoCellAnchor editAs="oneCell">
    <xdr:from>
      <xdr:col>14</xdr:col>
      <xdr:colOff>723900</xdr:colOff>
      <xdr:row>9</xdr:row>
      <xdr:rowOff>51824</xdr:rowOff>
    </xdr:from>
    <xdr:to>
      <xdr:col>17</xdr:col>
      <xdr:colOff>561975</xdr:colOff>
      <xdr:row>42</xdr:row>
      <xdr:rowOff>162998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68025" y="1813949"/>
          <a:ext cx="2124075" cy="5216574"/>
        </a:xfrm>
        <a:prstGeom prst="rect">
          <a:avLst/>
        </a:prstGeom>
      </xdr:spPr>
    </xdr:pic>
    <xdr:clientData/>
  </xdr:twoCellAnchor>
  <xdr:twoCellAnchor>
    <xdr:from>
      <xdr:col>9</xdr:col>
      <xdr:colOff>514350</xdr:colOff>
      <xdr:row>8</xdr:row>
      <xdr:rowOff>142875</xdr:rowOff>
    </xdr:from>
    <xdr:to>
      <xdr:col>14</xdr:col>
      <xdr:colOff>479962</xdr:colOff>
      <xdr:row>24</xdr:row>
      <xdr:rowOff>55530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pSpPr/>
      </xdr:nvGrpSpPr>
      <xdr:grpSpPr>
        <a:xfrm>
          <a:off x="7596468" y="1711699"/>
          <a:ext cx="3260141" cy="2478802"/>
          <a:chOff x="7362825" y="1714500"/>
          <a:chExt cx="3261262" cy="2200275"/>
        </a:xfrm>
      </xdr:grpSpPr>
      <xdr:pic>
        <xdr:nvPicPr>
          <xdr:cNvPr id="6" name="Grafik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362825" y="1771650"/>
            <a:ext cx="3261262" cy="1027967"/>
          </a:xfrm>
          <a:prstGeom prst="rect">
            <a:avLst/>
          </a:prstGeom>
        </xdr:spPr>
      </xdr:pic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SpPr/>
        </xdr:nvSpPr>
        <xdr:spPr>
          <a:xfrm>
            <a:off x="8382000" y="171450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9" name="Gerade Verbindung mit Pfeil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CxnSpPr>
            <a:stCxn id="11" idx="0"/>
          </xdr:cNvCxnSpPr>
        </xdr:nvCxnSpPr>
        <xdr:spPr>
          <a:xfrm flipV="1">
            <a:off x="9001125" y="2295526"/>
            <a:ext cx="581025" cy="866774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/>
        </xdr:nvSpPr>
        <xdr:spPr>
          <a:xfrm>
            <a:off x="9158418" y="3159327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SpPr/>
        </xdr:nvSpPr>
        <xdr:spPr>
          <a:xfrm>
            <a:off x="8877300" y="3162300"/>
            <a:ext cx="247650" cy="7524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9525</xdr:colOff>
      <xdr:row>2</xdr:row>
      <xdr:rowOff>28575</xdr:rowOff>
    </xdr:from>
    <xdr:to>
      <xdr:col>3</xdr:col>
      <xdr:colOff>742949</xdr:colOff>
      <xdr:row>4</xdr:row>
      <xdr:rowOff>154149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15</xdr:col>
      <xdr:colOff>329712</xdr:colOff>
      <xdr:row>20</xdr:row>
      <xdr:rowOff>212480</xdr:rowOff>
    </xdr:from>
    <xdr:to>
      <xdr:col>15</xdr:col>
      <xdr:colOff>564174</xdr:colOff>
      <xdr:row>40</xdr:row>
      <xdr:rowOff>0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11468359" y="3507009"/>
          <a:ext cx="234462" cy="3115667"/>
          <a:chOff x="11473962" y="3498605"/>
          <a:chExt cx="234462" cy="3102220"/>
        </a:xfrm>
      </xdr:grpSpPr>
      <xdr:cxnSp macro="">
        <xdr:nvCxnSpPr>
          <xdr:cNvPr id="3" name="Gerade Verbindung mit Pfeil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17" name="Rechteck 16">
            <a:extLst>
              <a:ext uri="{FF2B5EF4-FFF2-40B4-BE49-F238E27FC236}">
                <a16:creationId xmlns:a16="http://schemas.microsoft.com/office/drawing/2014/main" id="{00000000-0008-0000-0D00-000011000000}"/>
              </a:ext>
            </a:extLst>
          </xdr:cNvPr>
          <xdr:cNvSpPr/>
        </xdr:nvSpPr>
        <xdr:spPr>
          <a:xfrm>
            <a:off x="11503270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1122</xdr:colOff>
      <xdr:row>3</xdr:row>
      <xdr:rowOff>95810</xdr:rowOff>
    </xdr:from>
    <xdr:to>
      <xdr:col>23</xdr:col>
      <xdr:colOff>184500</xdr:colOff>
      <xdr:row>23</xdr:row>
      <xdr:rowOff>112059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3517"/>
        <a:stretch/>
      </xdr:blipFill>
      <xdr:spPr>
        <a:xfrm>
          <a:off x="7211547" y="714935"/>
          <a:ext cx="9194028" cy="3607174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10</xdr:col>
      <xdr:colOff>1122</xdr:colOff>
      <xdr:row>25</xdr:row>
      <xdr:rowOff>168087</xdr:rowOff>
    </xdr:from>
    <xdr:to>
      <xdr:col>23</xdr:col>
      <xdr:colOff>184500</xdr:colOff>
      <xdr:row>36</xdr:row>
      <xdr:rowOff>33616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7406" b="27367"/>
        <a:stretch/>
      </xdr:blipFill>
      <xdr:spPr>
        <a:xfrm>
          <a:off x="7211547" y="4759137"/>
          <a:ext cx="9194028" cy="1961029"/>
        </a:xfrm>
        <a:prstGeom prst="rect">
          <a:avLst/>
        </a:prstGeom>
      </xdr:spPr>
    </xdr:pic>
    <xdr:clientData/>
  </xdr:twoCellAnchor>
  <xdr:twoCellAnchor editAs="oneCell">
    <xdr:from>
      <xdr:col>10</xdr:col>
      <xdr:colOff>1122</xdr:colOff>
      <xdr:row>36</xdr:row>
      <xdr:rowOff>112057</xdr:rowOff>
    </xdr:from>
    <xdr:to>
      <xdr:col>23</xdr:col>
      <xdr:colOff>184500</xdr:colOff>
      <xdr:row>47</xdr:row>
      <xdr:rowOff>5006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4420"/>
        <a:stretch/>
      </xdr:blipFill>
      <xdr:spPr>
        <a:xfrm>
          <a:off x="7211547" y="6798607"/>
          <a:ext cx="9194028" cy="1988449"/>
        </a:xfrm>
        <a:prstGeom prst="rect">
          <a:avLst/>
        </a:prstGeom>
      </xdr:spPr>
    </xdr:pic>
    <xdr:clientData/>
  </xdr:twoCellAnchor>
  <xdr:twoCellAnchor editAs="oneCell">
    <xdr:from>
      <xdr:col>1</xdr:col>
      <xdr:colOff>1770530</xdr:colOff>
      <xdr:row>3</xdr:row>
      <xdr:rowOff>123263</xdr:rowOff>
    </xdr:from>
    <xdr:to>
      <xdr:col>5</xdr:col>
      <xdr:colOff>612839</xdr:colOff>
      <xdr:row>45</xdr:row>
      <xdr:rowOff>32449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3442" y="739587"/>
          <a:ext cx="3134162" cy="7697274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571500</xdr:colOff>
      <xdr:row>52</xdr:row>
      <xdr:rowOff>81643</xdr:rowOff>
    </xdr:from>
    <xdr:to>
      <xdr:col>17</xdr:col>
      <xdr:colOff>533400</xdr:colOff>
      <xdr:row>60</xdr:row>
      <xdr:rowOff>27214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0" y="9729107"/>
          <a:ext cx="5649686" cy="1469571"/>
        </a:xfrm>
        <a:prstGeom prst="rect">
          <a:avLst/>
        </a:prstGeom>
      </xdr:spPr>
    </xdr:pic>
    <xdr:clientData/>
  </xdr:twoCellAnchor>
  <xdr:twoCellAnchor editAs="oneCell">
    <xdr:from>
      <xdr:col>18</xdr:col>
      <xdr:colOff>258536</xdr:colOff>
      <xdr:row>51</xdr:row>
      <xdr:rowOff>176893</xdr:rowOff>
    </xdr:from>
    <xdr:to>
      <xdr:col>21</xdr:col>
      <xdr:colOff>462644</xdr:colOff>
      <xdr:row>65</xdr:row>
      <xdr:rowOff>130833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668250" y="9633857"/>
          <a:ext cx="2490108" cy="240322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167494</xdr:colOff>
      <xdr:row>21</xdr:row>
      <xdr:rowOff>44824</xdr:rowOff>
    </xdr:from>
    <xdr:to>
      <xdr:col>14</xdr:col>
      <xdr:colOff>146236</xdr:colOff>
      <xdr:row>31</xdr:row>
      <xdr:rowOff>123265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4170" y="3417795"/>
          <a:ext cx="2264742" cy="1949823"/>
        </a:xfrm>
        <a:prstGeom prst="rect">
          <a:avLst/>
        </a:prstGeom>
      </xdr:spPr>
    </xdr:pic>
    <xdr:clientData/>
  </xdr:twoCellAnchor>
  <xdr:twoCellAnchor editAs="oneCell">
    <xdr:from>
      <xdr:col>9</xdr:col>
      <xdr:colOff>123265</xdr:colOff>
      <xdr:row>8</xdr:row>
      <xdr:rowOff>78441</xdr:rowOff>
    </xdr:from>
    <xdr:to>
      <xdr:col>14</xdr:col>
      <xdr:colOff>572583</xdr:colOff>
      <xdr:row>18</xdr:row>
      <xdr:rowOff>67422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1412" y="1647265"/>
          <a:ext cx="3743847" cy="13336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47625</xdr:rowOff>
    </xdr:from>
    <xdr:to>
      <xdr:col>3</xdr:col>
      <xdr:colOff>714374</xdr:colOff>
      <xdr:row>4</xdr:row>
      <xdr:rowOff>173199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" y="42862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28575</xdr:rowOff>
    </xdr:from>
    <xdr:to>
      <xdr:col>3</xdr:col>
      <xdr:colOff>685799</xdr:colOff>
      <xdr:row>4</xdr:row>
      <xdr:rowOff>154149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11</xdr:col>
      <xdr:colOff>248422</xdr:colOff>
      <xdr:row>8</xdr:row>
      <xdr:rowOff>85768</xdr:rowOff>
    </xdr:from>
    <xdr:to>
      <xdr:col>14</xdr:col>
      <xdr:colOff>112056</xdr:colOff>
      <xdr:row>25</xdr:row>
      <xdr:rowOff>54333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pSpPr/>
      </xdr:nvGrpSpPr>
      <xdr:grpSpPr>
        <a:xfrm>
          <a:off x="8395098" y="1654592"/>
          <a:ext cx="2149634" cy="2613153"/>
          <a:chOff x="8105775" y="1657350"/>
          <a:chExt cx="2150319" cy="2333625"/>
        </a:xfrm>
      </xdr:grpSpPr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8105775" y="165735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11" name="Gerade Verbindung mit Pfeil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CxnSpPr/>
        </xdr:nvCxnSpPr>
        <xdr:spPr>
          <a:xfrm flipH="1" flipV="1">
            <a:off x="9286875" y="2362201"/>
            <a:ext cx="296652" cy="860748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Rechteck 11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SpPr/>
        </xdr:nvSpPr>
        <xdr:spPr>
          <a:xfrm>
            <a:off x="9136447" y="3242113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0F00-00000D000000}"/>
              </a:ext>
            </a:extLst>
          </xdr:cNvPr>
          <xdr:cNvSpPr/>
        </xdr:nvSpPr>
        <xdr:spPr>
          <a:xfrm>
            <a:off x="9925050" y="3238500"/>
            <a:ext cx="331044" cy="7524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4" name="Rechteck 13">
            <a:extLst>
              <a:ext uri="{FF2B5EF4-FFF2-40B4-BE49-F238E27FC236}">
                <a16:creationId xmlns:a16="http://schemas.microsoft.com/office/drawing/2014/main" id="{00000000-0008-0000-0F00-00000E000000}"/>
              </a:ext>
            </a:extLst>
          </xdr:cNvPr>
          <xdr:cNvSpPr/>
        </xdr:nvSpPr>
        <xdr:spPr>
          <a:xfrm>
            <a:off x="9440760" y="2426307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14</xdr:col>
      <xdr:colOff>619126</xdr:colOff>
      <xdr:row>9</xdr:row>
      <xdr:rowOff>28575</xdr:rowOff>
    </xdr:from>
    <xdr:to>
      <xdr:col>17</xdr:col>
      <xdr:colOff>488290</xdr:colOff>
      <xdr:row>43</xdr:row>
      <xdr:rowOff>29648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3251" y="1790700"/>
          <a:ext cx="2155164" cy="5182673"/>
        </a:xfrm>
        <a:prstGeom prst="rect">
          <a:avLst/>
        </a:prstGeom>
      </xdr:spPr>
    </xdr:pic>
    <xdr:clientData/>
  </xdr:twoCellAnchor>
  <xdr:twoCellAnchor>
    <xdr:from>
      <xdr:col>15</xdr:col>
      <xdr:colOff>263769</xdr:colOff>
      <xdr:row>21</xdr:row>
      <xdr:rowOff>95250</xdr:rowOff>
    </xdr:from>
    <xdr:to>
      <xdr:col>15</xdr:col>
      <xdr:colOff>498231</xdr:colOff>
      <xdr:row>40</xdr:row>
      <xdr:rowOff>90855</xdr:rowOff>
    </xdr:to>
    <xdr:grpSp>
      <xdr:nvGrpSpPr>
        <xdr:cNvPr id="19" name="Gruppieren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pSpPr/>
      </xdr:nvGrpSpPr>
      <xdr:grpSpPr>
        <a:xfrm>
          <a:off x="11458445" y="3468221"/>
          <a:ext cx="234462" cy="3133252"/>
          <a:chOff x="11473962" y="3498605"/>
          <a:chExt cx="234462" cy="3102220"/>
        </a:xfrm>
      </xdr:grpSpPr>
      <xdr:cxnSp macro="">
        <xdr:nvCxnSpPr>
          <xdr:cNvPr id="20" name="Gerade Verbindung mit Pfei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" name="Textfeld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00000000-0008-0000-0F00-000016000000}"/>
              </a:ext>
            </a:extLst>
          </xdr:cNvPr>
          <xdr:cNvSpPr/>
        </xdr:nvSpPr>
        <xdr:spPr>
          <a:xfrm>
            <a:off x="11503270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423075</xdr:colOff>
      <xdr:row>60</xdr:row>
      <xdr:rowOff>120770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73957</xdr:colOff>
      <xdr:row>3</xdr:row>
      <xdr:rowOff>62755</xdr:rowOff>
    </xdr:from>
    <xdr:to>
      <xdr:col>22</xdr:col>
      <xdr:colOff>719007</xdr:colOff>
      <xdr:row>23</xdr:row>
      <xdr:rowOff>168089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53174"/>
        <a:stretch/>
      </xdr:blipFill>
      <xdr:spPr>
        <a:xfrm>
          <a:off x="7055782" y="681880"/>
          <a:ext cx="9122300" cy="3696259"/>
        </a:xfrm>
        <a:prstGeom prst="rect">
          <a:avLst/>
        </a:prstGeom>
      </xdr:spPr>
    </xdr:pic>
    <xdr:clientData/>
  </xdr:twoCellAnchor>
  <xdr:twoCellAnchor editAs="oneCell">
    <xdr:from>
      <xdr:col>9</xdr:col>
      <xdr:colOff>73957</xdr:colOff>
      <xdr:row>25</xdr:row>
      <xdr:rowOff>112060</xdr:rowOff>
    </xdr:from>
    <xdr:to>
      <xdr:col>22</xdr:col>
      <xdr:colOff>719007</xdr:colOff>
      <xdr:row>35</xdr:row>
      <xdr:rowOff>179296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7392" b="27664"/>
        <a:stretch/>
      </xdr:blipFill>
      <xdr:spPr>
        <a:xfrm>
          <a:off x="7055782" y="4703110"/>
          <a:ext cx="9122300" cy="1972236"/>
        </a:xfrm>
        <a:prstGeom prst="rect">
          <a:avLst/>
        </a:prstGeom>
      </xdr:spPr>
    </xdr:pic>
    <xdr:clientData/>
  </xdr:twoCellAnchor>
  <xdr:twoCellAnchor editAs="oneCell">
    <xdr:from>
      <xdr:col>2</xdr:col>
      <xdr:colOff>179852</xdr:colOff>
      <xdr:row>3</xdr:row>
      <xdr:rowOff>111497</xdr:rowOff>
    </xdr:from>
    <xdr:to>
      <xdr:col>5</xdr:col>
      <xdr:colOff>870856</xdr:colOff>
      <xdr:row>45</xdr:row>
      <xdr:rowOff>37695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48138" y="737426"/>
          <a:ext cx="3113075" cy="7723090"/>
        </a:xfrm>
        <a:prstGeom prst="rect">
          <a:avLst/>
        </a:prstGeom>
      </xdr:spPr>
    </xdr:pic>
    <xdr:clientData/>
  </xdr:twoCellAnchor>
  <xdr:twoCellAnchor editAs="oneCell">
    <xdr:from>
      <xdr:col>7</xdr:col>
      <xdr:colOff>557892</xdr:colOff>
      <xdr:row>51</xdr:row>
      <xdr:rowOff>81642</xdr:rowOff>
    </xdr:from>
    <xdr:to>
      <xdr:col>18</xdr:col>
      <xdr:colOff>97672</xdr:colOff>
      <xdr:row>59</xdr:row>
      <xdr:rowOff>108857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89963" y="9538606"/>
          <a:ext cx="6043995" cy="1551215"/>
        </a:xfrm>
        <a:prstGeom prst="rect">
          <a:avLst/>
        </a:prstGeom>
      </xdr:spPr>
    </xdr:pic>
    <xdr:clientData/>
  </xdr:twoCellAnchor>
  <xdr:twoCellAnchor editAs="oneCell">
    <xdr:from>
      <xdr:col>18</xdr:col>
      <xdr:colOff>748393</xdr:colOff>
      <xdr:row>51</xdr:row>
      <xdr:rowOff>40822</xdr:rowOff>
    </xdr:from>
    <xdr:to>
      <xdr:col>22</xdr:col>
      <xdr:colOff>108857</xdr:colOff>
      <xdr:row>63</xdr:row>
      <xdr:rowOff>73108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484679" y="9497786"/>
          <a:ext cx="2408464" cy="2209429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54428</xdr:colOff>
      <xdr:row>36</xdr:row>
      <xdr:rowOff>40823</xdr:rowOff>
    </xdr:from>
    <xdr:to>
      <xdr:col>22</xdr:col>
      <xdr:colOff>557893</xdr:colOff>
      <xdr:row>46</xdr:row>
      <xdr:rowOff>56637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79178" y="6749144"/>
          <a:ext cx="8763001" cy="19208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44823</xdr:colOff>
      <xdr:row>20</xdr:row>
      <xdr:rowOff>302559</xdr:rowOff>
    </xdr:from>
    <xdr:to>
      <xdr:col>13</xdr:col>
      <xdr:colOff>418726</xdr:colOff>
      <xdr:row>32</xdr:row>
      <xdr:rowOff>7979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b="945"/>
        <a:stretch/>
      </xdr:blipFill>
      <xdr:spPr bwMode="auto">
        <a:xfrm>
          <a:off x="7900147" y="3597088"/>
          <a:ext cx="1897903" cy="184574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238125</xdr:colOff>
      <xdr:row>8</xdr:row>
      <xdr:rowOff>142875</xdr:rowOff>
    </xdr:from>
    <xdr:to>
      <xdr:col>14</xdr:col>
      <xdr:colOff>533399</xdr:colOff>
      <xdr:row>18</xdr:row>
      <xdr:rowOff>144106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714500"/>
          <a:ext cx="3590924" cy="1336972"/>
        </a:xfrm>
        <a:prstGeom prst="rect">
          <a:avLst/>
        </a:prstGeom>
      </xdr:spPr>
    </xdr:pic>
    <xdr:clientData/>
  </xdr:twoCellAnchor>
  <xdr:twoCellAnchor>
    <xdr:from>
      <xdr:col>12</xdr:col>
      <xdr:colOff>296931</xdr:colOff>
      <xdr:row>9</xdr:row>
      <xdr:rowOff>21534</xdr:rowOff>
    </xdr:from>
    <xdr:to>
      <xdr:col>13</xdr:col>
      <xdr:colOff>58806</xdr:colOff>
      <xdr:row>10</xdr:row>
      <xdr:rowOff>178016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8917056" y="1783659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261097</xdr:colOff>
      <xdr:row>16</xdr:row>
      <xdr:rowOff>96371</xdr:rowOff>
    </xdr:from>
    <xdr:to>
      <xdr:col>12</xdr:col>
      <xdr:colOff>299197</xdr:colOff>
      <xdr:row>20</xdr:row>
      <xdr:rowOff>251012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CxnSpPr/>
      </xdr:nvCxnSpPr>
      <xdr:spPr>
        <a:xfrm flipH="1" flipV="1">
          <a:off x="8116421" y="2740959"/>
          <a:ext cx="800100" cy="80458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506797</xdr:colOff>
      <xdr:row>20</xdr:row>
      <xdr:rowOff>251263</xdr:rowOff>
    </xdr:from>
    <xdr:to>
      <xdr:col>13</xdr:col>
      <xdr:colOff>144847</xdr:colOff>
      <xdr:row>21</xdr:row>
      <xdr:rowOff>60763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9126922" y="3270688"/>
          <a:ext cx="4000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13</xdr:col>
      <xdr:colOff>154081</xdr:colOff>
      <xdr:row>20</xdr:row>
      <xdr:rowOff>261657</xdr:rowOff>
    </xdr:from>
    <xdr:to>
      <xdr:col>13</xdr:col>
      <xdr:colOff>401731</xdr:colOff>
      <xdr:row>25</xdr:row>
      <xdr:rowOff>99732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9533405" y="3556186"/>
          <a:ext cx="247650" cy="75695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</xdr:col>
      <xdr:colOff>9525</xdr:colOff>
      <xdr:row>2</xdr:row>
      <xdr:rowOff>28575</xdr:rowOff>
    </xdr:from>
    <xdr:to>
      <xdr:col>4</xdr:col>
      <xdr:colOff>219074</xdr:colOff>
      <xdr:row>4</xdr:row>
      <xdr:rowOff>154149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</xdr:colOff>
      <xdr:row>10</xdr:row>
      <xdr:rowOff>38100</xdr:rowOff>
    </xdr:from>
    <xdr:to>
      <xdr:col>17</xdr:col>
      <xdr:colOff>650214</xdr:colOff>
      <xdr:row>44</xdr:row>
      <xdr:rowOff>39173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5175" y="1876425"/>
          <a:ext cx="2155164" cy="5296973"/>
        </a:xfrm>
        <a:prstGeom prst="rect">
          <a:avLst/>
        </a:prstGeom>
      </xdr:spPr>
    </xdr:pic>
    <xdr:clientData/>
  </xdr:twoCellAnchor>
  <xdr:twoCellAnchor>
    <xdr:from>
      <xdr:col>15</xdr:col>
      <xdr:colOff>414618</xdr:colOff>
      <xdr:row>20</xdr:row>
      <xdr:rowOff>336177</xdr:rowOff>
    </xdr:from>
    <xdr:to>
      <xdr:col>15</xdr:col>
      <xdr:colOff>649080</xdr:colOff>
      <xdr:row>40</xdr:row>
      <xdr:rowOff>127835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pSpPr/>
      </xdr:nvGrpSpPr>
      <xdr:grpSpPr>
        <a:xfrm>
          <a:off x="11317942" y="3630706"/>
          <a:ext cx="234462" cy="3119805"/>
          <a:chOff x="11473962" y="3498605"/>
          <a:chExt cx="234462" cy="3102220"/>
        </a:xfrm>
      </xdr:grpSpPr>
      <xdr:cxnSp macro="">
        <xdr:nvCxnSpPr>
          <xdr:cNvPr id="17" name="Gerade Verbindung mit Pfeil 16">
            <a:extLst>
              <a:ext uri="{FF2B5EF4-FFF2-40B4-BE49-F238E27FC236}">
                <a16:creationId xmlns:a16="http://schemas.microsoft.com/office/drawing/2014/main" id="{00000000-0008-0000-1100-000011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" name="Textfeld 17">
            <a:extLst>
              <a:ext uri="{FF2B5EF4-FFF2-40B4-BE49-F238E27FC236}">
                <a16:creationId xmlns:a16="http://schemas.microsoft.com/office/drawing/2014/main" id="{00000000-0008-0000-1100-000012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19" name="Rechteck 18">
            <a:extLst>
              <a:ext uri="{FF2B5EF4-FFF2-40B4-BE49-F238E27FC236}">
                <a16:creationId xmlns:a16="http://schemas.microsoft.com/office/drawing/2014/main" id="{00000000-0008-0000-1100-000013000000}"/>
              </a:ext>
            </a:extLst>
          </xdr:cNvPr>
          <xdr:cNvSpPr/>
        </xdr:nvSpPr>
        <xdr:spPr>
          <a:xfrm>
            <a:off x="11503270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25955"/>
          <a:ext cx="1766207" cy="2573334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1736911</xdr:colOff>
      <xdr:row>4</xdr:row>
      <xdr:rowOff>11205</xdr:rowOff>
    </xdr:from>
    <xdr:to>
      <xdr:col>5</xdr:col>
      <xdr:colOff>645895</xdr:colOff>
      <xdr:row>45</xdr:row>
      <xdr:rowOff>110891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49823" y="818029"/>
          <a:ext cx="3200837" cy="7697274"/>
        </a:xfrm>
        <a:prstGeom prst="rect">
          <a:avLst/>
        </a:prstGeom>
      </xdr:spPr>
    </xdr:pic>
    <xdr:clientData/>
  </xdr:twoCellAnchor>
  <xdr:twoCellAnchor editAs="oneCell">
    <xdr:from>
      <xdr:col>7</xdr:col>
      <xdr:colOff>530679</xdr:colOff>
      <xdr:row>52</xdr:row>
      <xdr:rowOff>122463</xdr:rowOff>
    </xdr:from>
    <xdr:to>
      <xdr:col>17</xdr:col>
      <xdr:colOff>371826</xdr:colOff>
      <xdr:row>60</xdr:row>
      <xdr:rowOff>13606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36179" y="9769927"/>
          <a:ext cx="5528933" cy="1415143"/>
        </a:xfrm>
        <a:prstGeom prst="rect">
          <a:avLst/>
        </a:prstGeom>
      </xdr:spPr>
    </xdr:pic>
    <xdr:clientData/>
  </xdr:twoCellAnchor>
  <xdr:twoCellAnchor editAs="oneCell">
    <xdr:from>
      <xdr:col>9</xdr:col>
      <xdr:colOff>189230</xdr:colOff>
      <xdr:row>5</xdr:row>
      <xdr:rowOff>27214</xdr:rowOff>
    </xdr:from>
    <xdr:to>
      <xdr:col>22</xdr:col>
      <xdr:colOff>590913</xdr:colOff>
      <xdr:row>22</xdr:row>
      <xdr:rowOff>20502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b="60258"/>
        <a:stretch/>
      </xdr:blipFill>
      <xdr:spPr bwMode="auto">
        <a:xfrm>
          <a:off x="7156087" y="1034143"/>
          <a:ext cx="8892540" cy="302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25</xdr:row>
      <xdr:rowOff>27214</xdr:rowOff>
    </xdr:from>
    <xdr:to>
      <xdr:col>22</xdr:col>
      <xdr:colOff>590913</xdr:colOff>
      <xdr:row>35</xdr:row>
      <xdr:rowOff>175169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40082" b="32967"/>
        <a:stretch/>
      </xdr:blipFill>
      <xdr:spPr bwMode="auto">
        <a:xfrm>
          <a:off x="7157357" y="4640035"/>
          <a:ext cx="8891270" cy="20529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191770</xdr:colOff>
      <xdr:row>35</xdr:row>
      <xdr:rowOff>176892</xdr:rowOff>
    </xdr:from>
    <xdr:to>
      <xdr:col>22</xdr:col>
      <xdr:colOff>590913</xdr:colOff>
      <xdr:row>46</xdr:row>
      <xdr:rowOff>168637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71446" b="1146"/>
        <a:stretch/>
      </xdr:blipFill>
      <xdr:spPr bwMode="auto">
        <a:xfrm>
          <a:off x="7158627" y="6694713"/>
          <a:ext cx="8890000" cy="20872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449036</xdr:colOff>
      <xdr:row>52</xdr:row>
      <xdr:rowOff>163286</xdr:rowOff>
    </xdr:from>
    <xdr:to>
      <xdr:col>21</xdr:col>
      <xdr:colOff>693965</xdr:colOff>
      <xdr:row>67</xdr:row>
      <xdr:rowOff>93729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b="945"/>
        <a:stretch/>
      </xdr:blipFill>
      <xdr:spPr bwMode="auto">
        <a:xfrm>
          <a:off x="12858750" y="9810750"/>
          <a:ext cx="2530929" cy="24613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2</xdr:row>
      <xdr:rowOff>19051</xdr:rowOff>
    </xdr:from>
    <xdr:to>
      <xdr:col>2</xdr:col>
      <xdr:colOff>666750</xdr:colOff>
      <xdr:row>4</xdr:row>
      <xdr:rowOff>175260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6" y="400051"/>
          <a:ext cx="1400174" cy="53720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571501</xdr:colOff>
      <xdr:row>8</xdr:row>
      <xdr:rowOff>171448</xdr:rowOff>
    </xdr:from>
    <xdr:to>
      <xdr:col>3</xdr:col>
      <xdr:colOff>605636</xdr:colOff>
      <xdr:row>20</xdr:row>
      <xdr:rowOff>45448</xdr:rowOff>
    </xdr:to>
    <xdr:pic>
      <xdr:nvPicPr>
        <xdr:cNvPr id="3" name="Grafi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1" y="1695448"/>
          <a:ext cx="1558135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8</xdr:row>
      <xdr:rowOff>152400</xdr:rowOff>
    </xdr:from>
    <xdr:to>
      <xdr:col>7</xdr:col>
      <xdr:colOff>524422</xdr:colOff>
      <xdr:row>20</xdr:row>
      <xdr:rowOff>26400</xdr:rowOff>
    </xdr:to>
    <xdr:pic>
      <xdr:nvPicPr>
        <xdr:cNvPr id="4" name="Grafi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52925" y="1676400"/>
          <a:ext cx="1505497" cy="216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112060</xdr:colOff>
      <xdr:row>21</xdr:row>
      <xdr:rowOff>268941</xdr:rowOff>
    </xdr:from>
    <xdr:to>
      <xdr:col>14</xdr:col>
      <xdr:colOff>33618</xdr:colOff>
      <xdr:row>33</xdr:row>
      <xdr:rowOff>57845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645"/>
        <a:stretch/>
      </xdr:blipFill>
      <xdr:spPr bwMode="auto">
        <a:xfrm>
          <a:off x="7967384" y="3641912"/>
          <a:ext cx="2207558" cy="1929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8</xdr:row>
      <xdr:rowOff>38101</xdr:rowOff>
    </xdr:from>
    <xdr:to>
      <xdr:col>14</xdr:col>
      <xdr:colOff>552450</xdr:colOff>
      <xdr:row>18</xdr:row>
      <xdr:rowOff>141795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1609726"/>
          <a:ext cx="3657600" cy="143719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47625</xdr:rowOff>
    </xdr:from>
    <xdr:to>
      <xdr:col>4</xdr:col>
      <xdr:colOff>247649</xdr:colOff>
      <xdr:row>4</xdr:row>
      <xdr:rowOff>173199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" y="42862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28575</xdr:rowOff>
    </xdr:from>
    <xdr:to>
      <xdr:col>4</xdr:col>
      <xdr:colOff>219074</xdr:colOff>
      <xdr:row>4</xdr:row>
      <xdr:rowOff>154149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8</xdr:row>
      <xdr:rowOff>28575</xdr:rowOff>
    </xdr:from>
    <xdr:to>
      <xdr:col>13</xdr:col>
      <xdr:colOff>123825</xdr:colOff>
      <xdr:row>9</xdr:row>
      <xdr:rowOff>70757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>
          <a:off x="8982075" y="16002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171450</xdr:colOff>
      <xdr:row>15</xdr:row>
      <xdr:rowOff>38100</xdr:rowOff>
    </xdr:from>
    <xdr:to>
      <xdr:col>11</xdr:col>
      <xdr:colOff>638175</xdr:colOff>
      <xdr:row>21</xdr:row>
      <xdr:rowOff>57150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CxnSpPr/>
      </xdr:nvCxnSpPr>
      <xdr:spPr>
        <a:xfrm flipH="1" flipV="1">
          <a:off x="8029575" y="2333625"/>
          <a:ext cx="466725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68647</xdr:colOff>
      <xdr:row>21</xdr:row>
      <xdr:rowOff>251263</xdr:rowOff>
    </xdr:from>
    <xdr:to>
      <xdr:col>12</xdr:col>
      <xdr:colOff>468697</xdr:colOff>
      <xdr:row>22</xdr:row>
      <xdr:rowOff>60763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8688772" y="3346888"/>
          <a:ext cx="4000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78441</xdr:colOff>
      <xdr:row>21</xdr:row>
      <xdr:rowOff>212911</xdr:rowOff>
    </xdr:from>
    <xdr:to>
      <xdr:col>11</xdr:col>
      <xdr:colOff>440951</xdr:colOff>
      <xdr:row>26</xdr:row>
      <xdr:rowOff>112059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33765" y="3585882"/>
          <a:ext cx="362510" cy="81803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590550</xdr:colOff>
      <xdr:row>15</xdr:row>
      <xdr:rowOff>558</xdr:rowOff>
    </xdr:from>
    <xdr:to>
      <xdr:col>11</xdr:col>
      <xdr:colOff>104775</xdr:colOff>
      <xdr:row>16</xdr:row>
      <xdr:rowOff>157040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437344" y="2566705"/>
          <a:ext cx="522755" cy="23492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14</xdr:col>
      <xdr:colOff>752475</xdr:colOff>
      <xdr:row>10</xdr:row>
      <xdr:rowOff>9525</xdr:rowOff>
    </xdr:from>
    <xdr:to>
      <xdr:col>17</xdr:col>
      <xdr:colOff>621639</xdr:colOff>
      <xdr:row>44</xdr:row>
      <xdr:rowOff>10598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96600" y="1847850"/>
          <a:ext cx="2155164" cy="5296973"/>
        </a:xfrm>
        <a:prstGeom prst="rect">
          <a:avLst/>
        </a:prstGeom>
      </xdr:spPr>
    </xdr:pic>
    <xdr:clientData/>
  </xdr:twoCellAnchor>
  <xdr:twoCellAnchor>
    <xdr:from>
      <xdr:col>15</xdr:col>
      <xdr:colOff>381000</xdr:colOff>
      <xdr:row>21</xdr:row>
      <xdr:rowOff>246529</xdr:rowOff>
    </xdr:from>
    <xdr:to>
      <xdr:col>15</xdr:col>
      <xdr:colOff>615462</xdr:colOff>
      <xdr:row>41</xdr:row>
      <xdr:rowOff>38187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11284324" y="3619500"/>
          <a:ext cx="234462" cy="3119805"/>
          <a:chOff x="11473962" y="3498605"/>
          <a:chExt cx="234462" cy="3102220"/>
        </a:xfrm>
      </xdr:grpSpPr>
      <xdr:cxnSp macro="">
        <xdr:nvCxnSpPr>
          <xdr:cNvPr id="19" name="Gerade Verbindung mit Pfei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" name="Textfeld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1" name="Rechteck 20">
            <a:extLst>
              <a:ext uri="{FF2B5EF4-FFF2-40B4-BE49-F238E27FC236}">
                <a16:creationId xmlns:a16="http://schemas.microsoft.com/office/drawing/2014/main" id="{00000000-0008-0000-1300-000015000000}"/>
              </a:ext>
            </a:extLst>
          </xdr:cNvPr>
          <xdr:cNvSpPr/>
        </xdr:nvSpPr>
        <xdr:spPr>
          <a:xfrm>
            <a:off x="11503270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-1</xdr:colOff>
      <xdr:row>51</xdr:row>
      <xdr:rowOff>168090</xdr:rowOff>
    </xdr:from>
    <xdr:to>
      <xdr:col>18</xdr:col>
      <xdr:colOff>212911</xdr:colOff>
      <xdr:row>59</xdr:row>
      <xdr:rowOff>145786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1824" y="9597840"/>
          <a:ext cx="5642162" cy="1501696"/>
        </a:xfrm>
        <a:prstGeom prst="rect">
          <a:avLst/>
        </a:prstGeom>
      </xdr:spPr>
    </xdr:pic>
    <xdr:clientData/>
  </xdr:twoCellAnchor>
  <xdr:twoCellAnchor editAs="oneCell">
    <xdr:from>
      <xdr:col>1</xdr:col>
      <xdr:colOff>1680882</xdr:colOff>
      <xdr:row>4</xdr:row>
      <xdr:rowOff>-1</xdr:rowOff>
    </xdr:from>
    <xdr:to>
      <xdr:col>5</xdr:col>
      <xdr:colOff>589866</xdr:colOff>
      <xdr:row>45</xdr:row>
      <xdr:rowOff>99685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93794" y="806823"/>
          <a:ext cx="3200837" cy="7697274"/>
        </a:xfrm>
        <a:prstGeom prst="rect">
          <a:avLst/>
        </a:prstGeom>
      </xdr:spPr>
    </xdr:pic>
    <xdr:clientData/>
  </xdr:twoCellAnchor>
  <xdr:twoCellAnchor editAs="oneCell">
    <xdr:from>
      <xdr:col>18</xdr:col>
      <xdr:colOff>557893</xdr:colOff>
      <xdr:row>52</xdr:row>
      <xdr:rowOff>13608</xdr:rowOff>
    </xdr:from>
    <xdr:to>
      <xdr:col>21</xdr:col>
      <xdr:colOff>530679</xdr:colOff>
      <xdr:row>63</xdr:row>
      <xdr:rowOff>961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645"/>
        <a:stretch/>
      </xdr:blipFill>
      <xdr:spPr bwMode="auto">
        <a:xfrm>
          <a:off x="12967607" y="9661072"/>
          <a:ext cx="2258786" cy="19739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5</xdr:row>
      <xdr:rowOff>204105</xdr:rowOff>
    </xdr:from>
    <xdr:to>
      <xdr:col>22</xdr:col>
      <xdr:colOff>591548</xdr:colOff>
      <xdr:row>22</xdr:row>
      <xdr:rowOff>189773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r="1014" b="59726"/>
        <a:stretch/>
      </xdr:blipFill>
      <xdr:spPr bwMode="auto">
        <a:xfrm>
          <a:off x="7157357" y="1211034"/>
          <a:ext cx="8891905" cy="30200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25</xdr:row>
      <xdr:rowOff>27215</xdr:rowOff>
    </xdr:from>
    <xdr:to>
      <xdr:col>22</xdr:col>
      <xdr:colOff>591548</xdr:colOff>
      <xdr:row>35</xdr:row>
      <xdr:rowOff>97700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1453" r="1014" b="32198"/>
        <a:stretch/>
      </xdr:blipFill>
      <xdr:spPr bwMode="auto">
        <a:xfrm>
          <a:off x="7157357" y="4640036"/>
          <a:ext cx="8891905" cy="19754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35</xdr:row>
      <xdr:rowOff>163286</xdr:rowOff>
    </xdr:from>
    <xdr:to>
      <xdr:col>22</xdr:col>
      <xdr:colOff>591548</xdr:colOff>
      <xdr:row>46</xdr:row>
      <xdr:rowOff>104231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72836" r="1014"/>
        <a:stretch/>
      </xdr:blipFill>
      <xdr:spPr bwMode="auto">
        <a:xfrm>
          <a:off x="7157357" y="6681107"/>
          <a:ext cx="8891905" cy="20364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14" name="Gruppier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Pfeil: nach rechts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" name="Gruppieren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6" name="Gruppier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Pfeil: nach rechts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10" name="Gruppieren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1500-00000B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" name="Pfeil: nach rechts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14654</xdr:colOff>
      <xdr:row>2</xdr:row>
      <xdr:rowOff>36635</xdr:rowOff>
    </xdr:from>
    <xdr:to>
      <xdr:col>5</xdr:col>
      <xdr:colOff>375138</xdr:colOff>
      <xdr:row>4</xdr:row>
      <xdr:rowOff>162209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6654" y="417635"/>
          <a:ext cx="2895599" cy="50657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280148</xdr:colOff>
      <xdr:row>20</xdr:row>
      <xdr:rowOff>112059</xdr:rowOff>
    </xdr:from>
    <xdr:to>
      <xdr:col>15</xdr:col>
      <xdr:colOff>67235</xdr:colOff>
      <xdr:row>32</xdr:row>
      <xdr:rowOff>70629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2795" y="3406588"/>
          <a:ext cx="2073087" cy="2098894"/>
        </a:xfrm>
        <a:prstGeom prst="rect">
          <a:avLst/>
        </a:prstGeom>
      </xdr:spPr>
    </xdr:pic>
    <xdr:clientData/>
  </xdr:twoCellAnchor>
  <xdr:twoCellAnchor editAs="oneCell">
    <xdr:from>
      <xdr:col>14</xdr:col>
      <xdr:colOff>723900</xdr:colOff>
      <xdr:row>10</xdr:row>
      <xdr:rowOff>66537</xdr:rowOff>
    </xdr:from>
    <xdr:to>
      <xdr:col>17</xdr:col>
      <xdr:colOff>485775</xdr:colOff>
      <xdr:row>44</xdr:row>
      <xdr:rowOff>10596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06150" y="1904862"/>
          <a:ext cx="2047875" cy="5239959"/>
        </a:xfrm>
        <a:prstGeom prst="rect">
          <a:avLst/>
        </a:prstGeom>
      </xdr:spPr>
    </xdr:pic>
    <xdr:clientData/>
  </xdr:twoCellAnchor>
  <xdr:twoCellAnchor>
    <xdr:from>
      <xdr:col>9</xdr:col>
      <xdr:colOff>504825</xdr:colOff>
      <xdr:row>8</xdr:row>
      <xdr:rowOff>142875</xdr:rowOff>
    </xdr:from>
    <xdr:to>
      <xdr:col>14</xdr:col>
      <xdr:colOff>470437</xdr:colOff>
      <xdr:row>25</xdr:row>
      <xdr:rowOff>42526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pSpPr/>
      </xdr:nvGrpSpPr>
      <xdr:grpSpPr>
        <a:xfrm>
          <a:off x="7586943" y="1711699"/>
          <a:ext cx="3260141" cy="2544239"/>
          <a:chOff x="7362825" y="1714500"/>
          <a:chExt cx="3261262" cy="2208595"/>
        </a:xfrm>
      </xdr:grpSpPr>
      <xdr:pic>
        <xdr:nvPicPr>
          <xdr:cNvPr id="4" name="Grafik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362825" y="1771650"/>
            <a:ext cx="3261262" cy="1027967"/>
          </a:xfrm>
          <a:prstGeom prst="rect">
            <a:avLst/>
          </a:prstGeom>
        </xdr:spPr>
      </xdr:pic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8382000" y="171450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7" name="Gerade Verbindung mit Pfeil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CxnSpPr>
            <a:cxnSpLocks/>
          </xdr:cNvCxnSpPr>
        </xdr:nvCxnSpPr>
        <xdr:spPr>
          <a:xfrm flipH="1" flipV="1">
            <a:off x="9582150" y="2295526"/>
            <a:ext cx="158259" cy="836348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/>
        </xdr:nvSpPr>
        <xdr:spPr>
          <a:xfrm>
            <a:off x="9193597" y="3174232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Rechteck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8867775" y="3170620"/>
            <a:ext cx="247650" cy="7524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9525</xdr:colOff>
      <xdr:row>2</xdr:row>
      <xdr:rowOff>28575</xdr:rowOff>
    </xdr:from>
    <xdr:to>
      <xdr:col>3</xdr:col>
      <xdr:colOff>742949</xdr:colOff>
      <xdr:row>4</xdr:row>
      <xdr:rowOff>154149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10</xdr:col>
      <xdr:colOff>76199</xdr:colOff>
      <xdr:row>34</xdr:row>
      <xdr:rowOff>19049</xdr:rowOff>
    </xdr:from>
    <xdr:to>
      <xdr:col>13</xdr:col>
      <xdr:colOff>468784</xdr:colOff>
      <xdr:row>43</xdr:row>
      <xdr:rowOff>38100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GrpSpPr/>
      </xdr:nvGrpSpPr>
      <xdr:grpSpPr>
        <a:xfrm>
          <a:off x="7920317" y="5722843"/>
          <a:ext cx="2163114" cy="1285316"/>
          <a:chOff x="8067674" y="5410199"/>
          <a:chExt cx="2164235" cy="1276351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78947" t="17250"/>
          <a:stretch/>
        </xdr:blipFill>
        <xdr:spPr>
          <a:xfrm>
            <a:off x="8067674" y="5410199"/>
            <a:ext cx="2164235" cy="1276351"/>
          </a:xfrm>
          <a:prstGeom prst="rect">
            <a:avLst/>
          </a:prstGeom>
        </xdr:spPr>
      </xdr:pic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/>
        </xdr:nvSpPr>
        <xdr:spPr>
          <a:xfrm>
            <a:off x="8382000" y="6238875"/>
            <a:ext cx="523875" cy="23842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11</xdr:col>
      <xdr:colOff>742950</xdr:colOff>
      <xdr:row>24</xdr:row>
      <xdr:rowOff>47625</xdr:rowOff>
    </xdr:from>
    <xdr:to>
      <xdr:col>12</xdr:col>
      <xdr:colOff>600075</xdr:colOff>
      <xdr:row>33</xdr:row>
      <xdr:rowOff>104775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CxnSpPr/>
      </xdr:nvCxnSpPr>
      <xdr:spPr>
        <a:xfrm flipV="1">
          <a:off x="8839200" y="4171950"/>
          <a:ext cx="619125" cy="1428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323850</xdr:colOff>
      <xdr:row>23</xdr:row>
      <xdr:rowOff>28575</xdr:rowOff>
    </xdr:from>
    <xdr:to>
      <xdr:col>15</xdr:col>
      <xdr:colOff>558311</xdr:colOff>
      <xdr:row>41</xdr:row>
      <xdr:rowOff>19050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GrpSpPr/>
      </xdr:nvGrpSpPr>
      <xdr:grpSpPr>
        <a:xfrm>
          <a:off x="11462497" y="3973046"/>
          <a:ext cx="234461" cy="2747122"/>
          <a:chOff x="11473962" y="3498605"/>
          <a:chExt cx="234461" cy="3102220"/>
        </a:xfrm>
      </xdr:grpSpPr>
      <xdr:cxnSp macro="">
        <xdr:nvCxnSpPr>
          <xdr:cNvPr id="19" name="Gerade Verbindung mit Pfeil 18">
            <a:extLst>
              <a:ext uri="{FF2B5EF4-FFF2-40B4-BE49-F238E27FC236}">
                <a16:creationId xmlns:a16="http://schemas.microsoft.com/office/drawing/2014/main" id="{00000000-0008-0000-1600-000013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" name="Textfeld 19">
            <a:extLst>
              <a:ext uri="{FF2B5EF4-FFF2-40B4-BE49-F238E27FC236}">
                <a16:creationId xmlns:a16="http://schemas.microsoft.com/office/drawing/2014/main" id="{00000000-0008-0000-1600-000014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1" name="Rechteck 20">
            <a:extLst>
              <a:ext uri="{FF2B5EF4-FFF2-40B4-BE49-F238E27FC236}">
                <a16:creationId xmlns:a16="http://schemas.microsoft.com/office/drawing/2014/main" id="{00000000-0008-0000-1600-000015000000}"/>
              </a:ext>
            </a:extLst>
          </xdr:cNvPr>
          <xdr:cNvSpPr/>
        </xdr:nvSpPr>
        <xdr:spPr>
          <a:xfrm>
            <a:off x="11484220" y="4845656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1122</xdr:colOff>
      <xdr:row>3</xdr:row>
      <xdr:rowOff>95810</xdr:rowOff>
    </xdr:from>
    <xdr:to>
      <xdr:col>23</xdr:col>
      <xdr:colOff>184500</xdr:colOff>
      <xdr:row>23</xdr:row>
      <xdr:rowOff>112059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3517"/>
        <a:stretch/>
      </xdr:blipFill>
      <xdr:spPr>
        <a:xfrm>
          <a:off x="7211547" y="714935"/>
          <a:ext cx="9194028" cy="3607174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49</xdr:row>
      <xdr:rowOff>25214</xdr:rowOff>
    </xdr:from>
    <xdr:to>
      <xdr:col>6</xdr:col>
      <xdr:colOff>638735</xdr:colOff>
      <xdr:row>60</xdr:row>
      <xdr:rowOff>169214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0" y="9079567"/>
          <a:ext cx="3709147" cy="2127441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10</xdr:col>
      <xdr:colOff>1122</xdr:colOff>
      <xdr:row>25</xdr:row>
      <xdr:rowOff>168087</xdr:rowOff>
    </xdr:from>
    <xdr:to>
      <xdr:col>23</xdr:col>
      <xdr:colOff>184500</xdr:colOff>
      <xdr:row>36</xdr:row>
      <xdr:rowOff>33616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7406" b="27367"/>
        <a:stretch/>
      </xdr:blipFill>
      <xdr:spPr>
        <a:xfrm>
          <a:off x="7211547" y="4759137"/>
          <a:ext cx="9194028" cy="1961029"/>
        </a:xfrm>
        <a:prstGeom prst="rect">
          <a:avLst/>
        </a:prstGeom>
      </xdr:spPr>
    </xdr:pic>
    <xdr:clientData/>
  </xdr:twoCellAnchor>
  <xdr:twoCellAnchor editAs="oneCell">
    <xdr:from>
      <xdr:col>10</xdr:col>
      <xdr:colOff>1122</xdr:colOff>
      <xdr:row>36</xdr:row>
      <xdr:rowOff>112057</xdr:rowOff>
    </xdr:from>
    <xdr:to>
      <xdr:col>23</xdr:col>
      <xdr:colOff>184500</xdr:colOff>
      <xdr:row>47</xdr:row>
      <xdr:rowOff>5006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4420"/>
        <a:stretch/>
      </xdr:blipFill>
      <xdr:spPr>
        <a:xfrm>
          <a:off x="7211547" y="6798607"/>
          <a:ext cx="9194028" cy="1988449"/>
        </a:xfrm>
        <a:prstGeom prst="rect">
          <a:avLst/>
        </a:prstGeom>
      </xdr:spPr>
    </xdr:pic>
    <xdr:clientData/>
  </xdr:twoCellAnchor>
  <xdr:twoCellAnchor editAs="oneCell">
    <xdr:from>
      <xdr:col>2</xdr:col>
      <xdr:colOff>11207</xdr:colOff>
      <xdr:row>3</xdr:row>
      <xdr:rowOff>145677</xdr:rowOff>
    </xdr:from>
    <xdr:to>
      <xdr:col>5</xdr:col>
      <xdr:colOff>591530</xdr:colOff>
      <xdr:row>45</xdr:row>
      <xdr:rowOff>35811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95501" y="762001"/>
          <a:ext cx="3000794" cy="7678222"/>
        </a:xfrm>
        <a:prstGeom prst="rect">
          <a:avLst/>
        </a:prstGeom>
      </xdr:spPr>
    </xdr:pic>
    <xdr:clientData/>
  </xdr:twoCellAnchor>
  <xdr:twoCellAnchor editAs="oneCell">
    <xdr:from>
      <xdr:col>17</xdr:col>
      <xdr:colOff>517069</xdr:colOff>
      <xdr:row>52</xdr:row>
      <xdr:rowOff>108857</xdr:rowOff>
    </xdr:from>
    <xdr:to>
      <xdr:col>20</xdr:col>
      <xdr:colOff>639534</xdr:colOff>
      <xdr:row>65</xdr:row>
      <xdr:rowOff>189258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10355" y="9647464"/>
          <a:ext cx="2462893" cy="2339187"/>
        </a:xfrm>
        <a:prstGeom prst="rect">
          <a:avLst/>
        </a:prstGeom>
      </xdr:spPr>
    </xdr:pic>
    <xdr:clientData/>
  </xdr:twoCellAnchor>
  <xdr:twoCellAnchor>
    <xdr:from>
      <xdr:col>7</xdr:col>
      <xdr:colOff>707573</xdr:colOff>
      <xdr:row>54</xdr:row>
      <xdr:rowOff>5602</xdr:rowOff>
    </xdr:from>
    <xdr:to>
      <xdr:col>16</xdr:col>
      <xdr:colOff>586154</xdr:colOff>
      <xdr:row>63</xdr:row>
      <xdr:rowOff>138953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GrpSpPr/>
      </xdr:nvGrpSpPr>
      <xdr:grpSpPr>
        <a:xfrm>
          <a:off x="6635485" y="9900396"/>
          <a:ext cx="4797963" cy="1735792"/>
          <a:chOff x="6627727" y="9971941"/>
          <a:chExt cx="4802273" cy="1730621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943425" y="10533750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 editAs="oneCell">
    <xdr:from>
      <xdr:col>7</xdr:col>
      <xdr:colOff>504265</xdr:colOff>
      <xdr:row>65</xdr:row>
      <xdr:rowOff>168089</xdr:rowOff>
    </xdr:from>
    <xdr:to>
      <xdr:col>17</xdr:col>
      <xdr:colOff>593912</xdr:colOff>
      <xdr:row>71</xdr:row>
      <xdr:rowOff>148365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9818"/>
        <a:stretch/>
      </xdr:blipFill>
      <xdr:spPr>
        <a:xfrm>
          <a:off x="6432177" y="11934265"/>
          <a:ext cx="5771029" cy="1011218"/>
        </a:xfrm>
        <a:prstGeom prst="rect">
          <a:avLst/>
        </a:prstGeom>
      </xdr:spPr>
    </xdr:pic>
    <xdr:clientData/>
  </xdr:twoCellAnchor>
  <xdr:twoCellAnchor editAs="oneCell">
    <xdr:from>
      <xdr:col>17</xdr:col>
      <xdr:colOff>100853</xdr:colOff>
      <xdr:row>70</xdr:row>
      <xdr:rowOff>44823</xdr:rowOff>
    </xdr:from>
    <xdr:to>
      <xdr:col>19</xdr:col>
      <xdr:colOff>696264</xdr:colOff>
      <xdr:row>76</xdr:row>
      <xdr:rowOff>178174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78947" t="17250"/>
        <a:stretch/>
      </xdr:blipFill>
      <xdr:spPr>
        <a:xfrm>
          <a:off x="11710147" y="12651441"/>
          <a:ext cx="2164235" cy="127635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126638</xdr:colOff>
      <xdr:row>21</xdr:row>
      <xdr:rowOff>112059</xdr:rowOff>
    </xdr:from>
    <xdr:to>
      <xdr:col>14</xdr:col>
      <xdr:colOff>157442</xdr:colOff>
      <xdr:row>32</xdr:row>
      <xdr:rowOff>156882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3314" y="3485030"/>
          <a:ext cx="2316804" cy="1994646"/>
        </a:xfrm>
        <a:prstGeom prst="rect">
          <a:avLst/>
        </a:prstGeom>
      </xdr:spPr>
    </xdr:pic>
    <xdr:clientData/>
  </xdr:twoCellAnchor>
  <xdr:twoCellAnchor editAs="oneCell">
    <xdr:from>
      <xdr:col>14</xdr:col>
      <xdr:colOff>628650</xdr:colOff>
      <xdr:row>9</xdr:row>
      <xdr:rowOff>66675</xdr:rowOff>
    </xdr:from>
    <xdr:to>
      <xdr:col>17</xdr:col>
      <xdr:colOff>390525</xdr:colOff>
      <xdr:row>44</xdr:row>
      <xdr:rowOff>48834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8050" y="1828800"/>
          <a:ext cx="2047875" cy="523995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47625</xdr:rowOff>
    </xdr:from>
    <xdr:to>
      <xdr:col>3</xdr:col>
      <xdr:colOff>714374</xdr:colOff>
      <xdr:row>4</xdr:row>
      <xdr:rowOff>173199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" y="42862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28575</xdr:rowOff>
    </xdr:from>
    <xdr:to>
      <xdr:col>3</xdr:col>
      <xdr:colOff>685799</xdr:colOff>
      <xdr:row>4</xdr:row>
      <xdr:rowOff>154149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9</xdr:col>
      <xdr:colOff>171450</xdr:colOff>
      <xdr:row>8</xdr:row>
      <xdr:rowOff>76200</xdr:rowOff>
    </xdr:from>
    <xdr:to>
      <xdr:col>14</xdr:col>
      <xdr:colOff>400050</xdr:colOff>
      <xdr:row>26</xdr:row>
      <xdr:rowOff>29045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7309597" y="1645024"/>
          <a:ext cx="3523129" cy="2675874"/>
          <a:chOff x="7019925" y="1647825"/>
          <a:chExt cx="3524250" cy="2343149"/>
        </a:xfrm>
      </xdr:grpSpPr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t="6149" r="28699"/>
          <a:stretch/>
        </xdr:blipFill>
        <xdr:spPr>
          <a:xfrm>
            <a:off x="7019925" y="1647825"/>
            <a:ext cx="3524250" cy="1245087"/>
          </a:xfrm>
          <a:prstGeom prst="rect">
            <a:avLst/>
          </a:prstGeom>
        </xdr:spPr>
      </xdr:pic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/>
        </xdr:nvSpPr>
        <xdr:spPr>
          <a:xfrm>
            <a:off x="8105775" y="165735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8" name="Gerade Verbindung mit Pfeil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CxnSpPr/>
        </xdr:nvCxnSpPr>
        <xdr:spPr>
          <a:xfrm flipH="1" flipV="1">
            <a:off x="9286875" y="2362201"/>
            <a:ext cx="476001" cy="94596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Rechteck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9136447" y="3242113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9969888" y="3238499"/>
            <a:ext cx="247650" cy="7524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/>
        </xdr:nvSpPr>
        <xdr:spPr>
          <a:xfrm>
            <a:off x="9382125" y="2486025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104775</xdr:colOff>
      <xdr:row>38</xdr:row>
      <xdr:rowOff>0</xdr:rowOff>
    </xdr:from>
    <xdr:to>
      <xdr:col>13</xdr:col>
      <xdr:colOff>497360</xdr:colOff>
      <xdr:row>46</xdr:row>
      <xdr:rowOff>95251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8004922" y="6129618"/>
          <a:ext cx="2163114" cy="1283074"/>
          <a:chOff x="8067674" y="5410199"/>
          <a:chExt cx="2164235" cy="1276351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78947" t="17250"/>
          <a:stretch/>
        </xdr:blipFill>
        <xdr:spPr>
          <a:xfrm>
            <a:off x="8067674" y="5410199"/>
            <a:ext cx="2164235" cy="1276351"/>
          </a:xfrm>
          <a:prstGeom prst="rect">
            <a:avLst/>
          </a:prstGeom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/>
        </xdr:nvSpPr>
        <xdr:spPr>
          <a:xfrm>
            <a:off x="8382000" y="6238875"/>
            <a:ext cx="523875" cy="23842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12</xdr:col>
      <xdr:colOff>212914</xdr:colOff>
      <xdr:row>26</xdr:row>
      <xdr:rowOff>179294</xdr:rowOff>
    </xdr:from>
    <xdr:to>
      <xdr:col>12</xdr:col>
      <xdr:colOff>638736</xdr:colOff>
      <xdr:row>35</xdr:row>
      <xdr:rowOff>56030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CxnSpPr/>
      </xdr:nvCxnSpPr>
      <xdr:spPr>
        <a:xfrm flipV="1">
          <a:off x="9121590" y="4471147"/>
          <a:ext cx="425822" cy="13671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22</xdr:row>
      <xdr:rowOff>145676</xdr:rowOff>
    </xdr:from>
    <xdr:to>
      <xdr:col>15</xdr:col>
      <xdr:colOff>424961</xdr:colOff>
      <xdr:row>41</xdr:row>
      <xdr:rowOff>57710</xdr:rowOff>
    </xdr:to>
    <xdr:grpSp>
      <xdr:nvGrpSpPr>
        <xdr:cNvPr id="22" name="Gruppieren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GrpSpPr/>
      </xdr:nvGrpSpPr>
      <xdr:grpSpPr>
        <a:xfrm>
          <a:off x="11385176" y="3899647"/>
          <a:ext cx="234461" cy="2747122"/>
          <a:chOff x="11473962" y="3498605"/>
          <a:chExt cx="234461" cy="3102220"/>
        </a:xfrm>
      </xdr:grpSpPr>
      <xdr:cxnSp macro="">
        <xdr:nvCxnSpPr>
          <xdr:cNvPr id="23" name="Gerade Verbindung mit Pfeil 22">
            <a:extLst>
              <a:ext uri="{FF2B5EF4-FFF2-40B4-BE49-F238E27FC236}">
                <a16:creationId xmlns:a16="http://schemas.microsoft.com/office/drawing/2014/main" id="{00000000-0008-0000-1800-000017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4" name="Textfeld 23">
            <a:extLst>
              <a:ext uri="{FF2B5EF4-FFF2-40B4-BE49-F238E27FC236}">
                <a16:creationId xmlns:a16="http://schemas.microsoft.com/office/drawing/2014/main" id="{00000000-0008-0000-1800-000018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5" name="Rechteck 24">
            <a:extLst>
              <a:ext uri="{FF2B5EF4-FFF2-40B4-BE49-F238E27FC236}">
                <a16:creationId xmlns:a16="http://schemas.microsoft.com/office/drawing/2014/main" id="{00000000-0008-0000-1800-000019000000}"/>
              </a:ext>
            </a:extLst>
          </xdr:cNvPr>
          <xdr:cNvSpPr/>
        </xdr:nvSpPr>
        <xdr:spPr>
          <a:xfrm>
            <a:off x="11484220" y="4845656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638735</xdr:colOff>
      <xdr:row>60</xdr:row>
      <xdr:rowOff>169214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9079567"/>
          <a:ext cx="3709147" cy="2127441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73957</xdr:colOff>
      <xdr:row>3</xdr:row>
      <xdr:rowOff>62755</xdr:rowOff>
    </xdr:from>
    <xdr:to>
      <xdr:col>22</xdr:col>
      <xdr:colOff>719007</xdr:colOff>
      <xdr:row>23</xdr:row>
      <xdr:rowOff>168089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53174"/>
        <a:stretch/>
      </xdr:blipFill>
      <xdr:spPr>
        <a:xfrm>
          <a:off x="7055782" y="681880"/>
          <a:ext cx="9122300" cy="3696259"/>
        </a:xfrm>
        <a:prstGeom prst="rect">
          <a:avLst/>
        </a:prstGeom>
      </xdr:spPr>
    </xdr:pic>
    <xdr:clientData/>
  </xdr:twoCellAnchor>
  <xdr:twoCellAnchor editAs="oneCell">
    <xdr:from>
      <xdr:col>9</xdr:col>
      <xdr:colOff>73957</xdr:colOff>
      <xdr:row>25</xdr:row>
      <xdr:rowOff>112060</xdr:rowOff>
    </xdr:from>
    <xdr:to>
      <xdr:col>22</xdr:col>
      <xdr:colOff>719007</xdr:colOff>
      <xdr:row>35</xdr:row>
      <xdr:rowOff>179296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7392" b="27664"/>
        <a:stretch/>
      </xdr:blipFill>
      <xdr:spPr>
        <a:xfrm>
          <a:off x="7055782" y="4703110"/>
          <a:ext cx="9122300" cy="1972236"/>
        </a:xfrm>
        <a:prstGeom prst="rect">
          <a:avLst/>
        </a:prstGeom>
      </xdr:spPr>
    </xdr:pic>
    <xdr:clientData/>
  </xdr:twoCellAnchor>
  <xdr:twoCellAnchor editAs="oneCell">
    <xdr:from>
      <xdr:col>20</xdr:col>
      <xdr:colOff>102454</xdr:colOff>
      <xdr:row>69</xdr:row>
      <xdr:rowOff>4803</xdr:rowOff>
    </xdr:from>
    <xdr:to>
      <xdr:col>22</xdr:col>
      <xdr:colOff>742689</xdr:colOff>
      <xdr:row>75</xdr:row>
      <xdr:rowOff>141355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8947" t="17250"/>
        <a:stretch/>
      </xdr:blipFill>
      <xdr:spPr>
        <a:xfrm>
          <a:off x="14036168" y="12455339"/>
          <a:ext cx="2164235" cy="1279552"/>
        </a:xfrm>
        <a:prstGeom prst="rect">
          <a:avLst/>
        </a:prstGeom>
      </xdr:spPr>
    </xdr:pic>
    <xdr:clientData/>
  </xdr:twoCellAnchor>
  <xdr:twoCellAnchor editAs="oneCell">
    <xdr:from>
      <xdr:col>2</xdr:col>
      <xdr:colOff>8402</xdr:colOff>
      <xdr:row>3</xdr:row>
      <xdr:rowOff>147917</xdr:rowOff>
    </xdr:from>
    <xdr:to>
      <xdr:col>5</xdr:col>
      <xdr:colOff>588725</xdr:colOff>
      <xdr:row>45</xdr:row>
      <xdr:rowOff>38051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92696" y="764241"/>
          <a:ext cx="3000794" cy="7678222"/>
        </a:xfrm>
        <a:prstGeom prst="rect">
          <a:avLst/>
        </a:prstGeom>
      </xdr:spPr>
    </xdr:pic>
    <xdr:clientData/>
  </xdr:twoCellAnchor>
  <xdr:twoCellAnchor editAs="oneCell">
    <xdr:from>
      <xdr:col>19</xdr:col>
      <xdr:colOff>27213</xdr:colOff>
      <xdr:row>53</xdr:row>
      <xdr:rowOff>108857</xdr:rowOff>
    </xdr:from>
    <xdr:to>
      <xdr:col>21</xdr:col>
      <xdr:colOff>723839</xdr:colOff>
      <xdr:row>63</xdr:row>
      <xdr:rowOff>136072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98927" y="9837964"/>
          <a:ext cx="2220626" cy="1823358"/>
        </a:xfrm>
        <a:prstGeom prst="rect">
          <a:avLst/>
        </a:prstGeom>
      </xdr:spPr>
    </xdr:pic>
    <xdr:clientData/>
  </xdr:twoCellAnchor>
  <xdr:twoCellAnchor editAs="oneCell">
    <xdr:from>
      <xdr:col>10</xdr:col>
      <xdr:colOff>13607</xdr:colOff>
      <xdr:row>35</xdr:row>
      <xdr:rowOff>136070</xdr:rowOff>
    </xdr:from>
    <xdr:to>
      <xdr:col>22</xdr:col>
      <xdr:colOff>627576</xdr:colOff>
      <xdr:row>46</xdr:row>
      <xdr:rowOff>95249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11786" y="6653891"/>
          <a:ext cx="8873504" cy="205467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67</xdr:row>
      <xdr:rowOff>-1</xdr:rowOff>
    </xdr:from>
    <xdr:to>
      <xdr:col>18</xdr:col>
      <xdr:colOff>299357</xdr:colOff>
      <xdr:row>74</xdr:row>
      <xdr:rowOff>12982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13163"/>
        <a:stretch/>
      </xdr:blipFill>
      <xdr:spPr>
        <a:xfrm>
          <a:off x="6667500" y="12069535"/>
          <a:ext cx="6041571" cy="1346483"/>
        </a:xfrm>
        <a:prstGeom prst="rect">
          <a:avLst/>
        </a:prstGeom>
      </xdr:spPr>
    </xdr:pic>
    <xdr:clientData/>
  </xdr:twoCellAnchor>
  <xdr:twoCellAnchor>
    <xdr:from>
      <xdr:col>9</xdr:col>
      <xdr:colOff>13606</xdr:colOff>
      <xdr:row>51</xdr:row>
      <xdr:rowOff>100847</xdr:rowOff>
    </xdr:from>
    <xdr:to>
      <xdr:col>17</xdr:col>
      <xdr:colOff>426658</xdr:colOff>
      <xdr:row>60</xdr:row>
      <xdr:rowOff>130151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6980463" y="9448954"/>
          <a:ext cx="5039481" cy="1743804"/>
          <a:chOff x="6627727" y="9963953"/>
          <a:chExt cx="4802273" cy="1738609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18" name="Rechteck 17">
            <a:extLst>
              <a:ext uri="{FF2B5EF4-FFF2-40B4-BE49-F238E27FC236}">
                <a16:creationId xmlns:a16="http://schemas.microsoft.com/office/drawing/2014/main" id="{00000000-0008-0000-1900-000012000000}"/>
              </a:ext>
            </a:extLst>
          </xdr:cNvPr>
          <xdr:cNvSpPr/>
        </xdr:nvSpPr>
        <xdr:spPr>
          <a:xfrm>
            <a:off x="8917492" y="9963953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16</xdr:col>
      <xdr:colOff>163286</xdr:colOff>
      <xdr:row>65</xdr:row>
      <xdr:rowOff>40822</xdr:rowOff>
    </xdr:from>
    <xdr:to>
      <xdr:col>19</xdr:col>
      <xdr:colOff>350714</xdr:colOff>
      <xdr:row>68</xdr:row>
      <xdr:rowOff>108409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/>
      </xdr:nvSpPr>
      <xdr:spPr>
        <a:xfrm>
          <a:off x="10994572" y="11838215"/>
          <a:ext cx="2527856" cy="53023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78441</xdr:colOff>
      <xdr:row>20</xdr:row>
      <xdr:rowOff>224119</xdr:rowOff>
    </xdr:from>
    <xdr:to>
      <xdr:col>13</xdr:col>
      <xdr:colOff>127374</xdr:colOff>
      <xdr:row>31</xdr:row>
      <xdr:rowOff>43753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b="945"/>
        <a:stretch/>
      </xdr:blipFill>
      <xdr:spPr bwMode="auto">
        <a:xfrm>
          <a:off x="7922559" y="3518648"/>
          <a:ext cx="1819462" cy="17694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428625</xdr:colOff>
      <xdr:row>35</xdr:row>
      <xdr:rowOff>38101</xdr:rowOff>
    </xdr:from>
    <xdr:to>
      <xdr:col>12</xdr:col>
      <xdr:colOff>350634</xdr:colOff>
      <xdr:row>41</xdr:row>
      <xdr:rowOff>180974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15225" y="5534026"/>
          <a:ext cx="1693659" cy="1057274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8</xdr:row>
      <xdr:rowOff>95250</xdr:rowOff>
    </xdr:from>
    <xdr:to>
      <xdr:col>14</xdr:col>
      <xdr:colOff>428624</xdr:colOff>
      <xdr:row>18</xdr:row>
      <xdr:rowOff>96481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19950" y="1666875"/>
          <a:ext cx="3590924" cy="1336972"/>
        </a:xfrm>
        <a:prstGeom prst="rect">
          <a:avLst/>
        </a:prstGeom>
      </xdr:spPr>
    </xdr:pic>
    <xdr:clientData/>
  </xdr:twoCellAnchor>
  <xdr:twoCellAnchor editAs="oneCell">
    <xdr:from>
      <xdr:col>14</xdr:col>
      <xdr:colOff>723900</xdr:colOff>
      <xdr:row>10</xdr:row>
      <xdr:rowOff>66537</xdr:rowOff>
    </xdr:from>
    <xdr:to>
      <xdr:col>17</xdr:col>
      <xdr:colOff>485775</xdr:colOff>
      <xdr:row>44</xdr:row>
      <xdr:rowOff>10596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06150" y="1904862"/>
          <a:ext cx="2047875" cy="5239959"/>
        </a:xfrm>
        <a:prstGeom prst="rect">
          <a:avLst/>
        </a:prstGeom>
      </xdr:spPr>
    </xdr:pic>
    <xdr:clientData/>
  </xdr:twoCellAnchor>
  <xdr:twoCellAnchor>
    <xdr:from>
      <xdr:col>12</xdr:col>
      <xdr:colOff>190500</xdr:colOff>
      <xdr:row>8</xdr:row>
      <xdr:rowOff>171450</xdr:rowOff>
    </xdr:from>
    <xdr:to>
      <xdr:col>12</xdr:col>
      <xdr:colOff>714375</xdr:colOff>
      <xdr:row>10</xdr:row>
      <xdr:rowOff>143176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/>
      </xdr:nvSpPr>
      <xdr:spPr>
        <a:xfrm>
          <a:off x="9048750" y="1743075"/>
          <a:ext cx="523875" cy="23842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156882</xdr:colOff>
      <xdr:row>16</xdr:row>
      <xdr:rowOff>33618</xdr:rowOff>
    </xdr:from>
    <xdr:to>
      <xdr:col>12</xdr:col>
      <xdr:colOff>108697</xdr:colOff>
      <xdr:row>20</xdr:row>
      <xdr:rowOff>183314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CxnSpPr/>
      </xdr:nvCxnSpPr>
      <xdr:spPr>
        <a:xfrm flipH="1" flipV="1">
          <a:off x="8247529" y="2409265"/>
          <a:ext cx="713815" cy="7996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201997</xdr:colOff>
      <xdr:row>20</xdr:row>
      <xdr:rowOff>163267</xdr:rowOff>
    </xdr:from>
    <xdr:to>
      <xdr:col>12</xdr:col>
      <xdr:colOff>602047</xdr:colOff>
      <xdr:row>20</xdr:row>
      <xdr:rowOff>358470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9060247" y="3182692"/>
          <a:ext cx="400050" cy="19520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640417</xdr:colOff>
      <xdr:row>20</xdr:row>
      <xdr:rowOff>173572</xdr:rowOff>
    </xdr:from>
    <xdr:to>
      <xdr:col>13</xdr:col>
      <xdr:colOff>126067</xdr:colOff>
      <xdr:row>25</xdr:row>
      <xdr:rowOff>30222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493064" y="3468101"/>
          <a:ext cx="247650" cy="7755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</xdr:col>
      <xdr:colOff>9525</xdr:colOff>
      <xdr:row>2</xdr:row>
      <xdr:rowOff>28575</xdr:rowOff>
    </xdr:from>
    <xdr:to>
      <xdr:col>3</xdr:col>
      <xdr:colOff>742949</xdr:colOff>
      <xdr:row>4</xdr:row>
      <xdr:rowOff>154149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11</xdr:col>
      <xdr:colOff>619125</xdr:colOff>
      <xdr:row>40</xdr:row>
      <xdr:rowOff>57150</xdr:rowOff>
    </xdr:from>
    <xdr:to>
      <xdr:col>12</xdr:col>
      <xdr:colOff>257175</xdr:colOff>
      <xdr:row>41</xdr:row>
      <xdr:rowOff>61853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8715375" y="6276975"/>
          <a:ext cx="400050" cy="19520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15</xdr:col>
      <xdr:colOff>291353</xdr:colOff>
      <xdr:row>23</xdr:row>
      <xdr:rowOff>33617</xdr:rowOff>
    </xdr:from>
    <xdr:to>
      <xdr:col>15</xdr:col>
      <xdr:colOff>525814</xdr:colOff>
      <xdr:row>41</xdr:row>
      <xdr:rowOff>24092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pSpPr/>
      </xdr:nvGrpSpPr>
      <xdr:grpSpPr>
        <a:xfrm>
          <a:off x="11430000" y="3978088"/>
          <a:ext cx="234461" cy="2747122"/>
          <a:chOff x="11473962" y="3498605"/>
          <a:chExt cx="234461" cy="3102220"/>
        </a:xfrm>
      </xdr:grpSpPr>
      <xdr:cxnSp macro="">
        <xdr:nvCxnSpPr>
          <xdr:cNvPr id="14" name="Gerade Verbindung mit Pfeil 13">
            <a:extLst>
              <a:ext uri="{FF2B5EF4-FFF2-40B4-BE49-F238E27FC236}">
                <a16:creationId xmlns:a16="http://schemas.microsoft.com/office/drawing/2014/main" id="{00000000-0008-0000-1A00-00000E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" name="Textfeld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19" name="Rechteck 18">
            <a:extLst>
              <a:ext uri="{FF2B5EF4-FFF2-40B4-BE49-F238E27FC236}">
                <a16:creationId xmlns:a16="http://schemas.microsoft.com/office/drawing/2014/main" id="{00000000-0008-0000-1A00-000013000000}"/>
              </a:ext>
            </a:extLst>
          </xdr:cNvPr>
          <xdr:cNvSpPr/>
        </xdr:nvSpPr>
        <xdr:spPr>
          <a:xfrm>
            <a:off x="11484220" y="4845656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638735</xdr:colOff>
      <xdr:row>60</xdr:row>
      <xdr:rowOff>169214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704104" cy="21252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6350"/>
          <a:ext cx="1775012" cy="2564530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2</xdr:col>
      <xdr:colOff>11207</xdr:colOff>
      <xdr:row>3</xdr:row>
      <xdr:rowOff>145677</xdr:rowOff>
    </xdr:from>
    <xdr:to>
      <xdr:col>5</xdr:col>
      <xdr:colOff>591530</xdr:colOff>
      <xdr:row>45</xdr:row>
      <xdr:rowOff>35811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87657" y="764802"/>
          <a:ext cx="2999673" cy="7672059"/>
        </a:xfrm>
        <a:prstGeom prst="rect">
          <a:avLst/>
        </a:prstGeom>
      </xdr:spPr>
    </xdr:pic>
    <xdr:clientData/>
  </xdr:twoCellAnchor>
  <xdr:twoCellAnchor editAs="oneCell">
    <xdr:from>
      <xdr:col>20</xdr:col>
      <xdr:colOff>81642</xdr:colOff>
      <xdr:row>68</xdr:row>
      <xdr:rowOff>54429</xdr:rowOff>
    </xdr:from>
    <xdr:to>
      <xdr:col>22</xdr:col>
      <xdr:colOff>329539</xdr:colOff>
      <xdr:row>75</xdr:row>
      <xdr:rowOff>159405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15356" y="12314465"/>
          <a:ext cx="1771897" cy="1438476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4</xdr:row>
      <xdr:rowOff>163285</xdr:rowOff>
    </xdr:from>
    <xdr:to>
      <xdr:col>22</xdr:col>
      <xdr:colOff>755469</xdr:colOff>
      <xdr:row>21</xdr:row>
      <xdr:rowOff>156573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b="60258"/>
        <a:stretch/>
      </xdr:blipFill>
      <xdr:spPr bwMode="auto">
        <a:xfrm>
          <a:off x="7320643" y="979714"/>
          <a:ext cx="8892540" cy="302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122464</xdr:colOff>
      <xdr:row>25</xdr:row>
      <xdr:rowOff>27216</xdr:rowOff>
    </xdr:from>
    <xdr:to>
      <xdr:col>22</xdr:col>
      <xdr:colOff>754199</xdr:colOff>
      <xdr:row>35</xdr:row>
      <xdr:rowOff>175171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40082" b="32967"/>
        <a:stretch/>
      </xdr:blipFill>
      <xdr:spPr bwMode="auto">
        <a:xfrm>
          <a:off x="7320643" y="4640037"/>
          <a:ext cx="8891270" cy="20529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122464</xdr:colOff>
      <xdr:row>35</xdr:row>
      <xdr:rowOff>176893</xdr:rowOff>
    </xdr:from>
    <xdr:to>
      <xdr:col>22</xdr:col>
      <xdr:colOff>752929</xdr:colOff>
      <xdr:row>46</xdr:row>
      <xdr:rowOff>168638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71446" b="1146"/>
        <a:stretch/>
      </xdr:blipFill>
      <xdr:spPr bwMode="auto">
        <a:xfrm>
          <a:off x="7320643" y="6694714"/>
          <a:ext cx="8890000" cy="20872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8</xdr:col>
      <xdr:colOff>136071</xdr:colOff>
      <xdr:row>54</xdr:row>
      <xdr:rowOff>68036</xdr:rowOff>
    </xdr:from>
    <xdr:to>
      <xdr:col>17</xdr:col>
      <xdr:colOff>8248</xdr:colOff>
      <xdr:row>64</xdr:row>
      <xdr:rowOff>7685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GrpSpPr/>
      </xdr:nvGrpSpPr>
      <xdr:grpSpPr>
        <a:xfrm>
          <a:off x="6803571" y="9987643"/>
          <a:ext cx="4797963" cy="1735792"/>
          <a:chOff x="6627727" y="9971941"/>
          <a:chExt cx="4802273" cy="1730621"/>
        </a:xfrm>
      </xdr:grpSpPr>
      <xdr:pic>
        <xdr:nvPicPr>
          <xdr:cNvPr id="18" name="Grafik 17">
            <a:extLst>
              <a:ext uri="{FF2B5EF4-FFF2-40B4-BE49-F238E27FC236}">
                <a16:creationId xmlns:a16="http://schemas.microsoft.com/office/drawing/2014/main" id="{00000000-0008-0000-1B00-00001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19" name="Rechteck 18">
            <a:extLst>
              <a:ext uri="{FF2B5EF4-FFF2-40B4-BE49-F238E27FC236}">
                <a16:creationId xmlns:a16="http://schemas.microsoft.com/office/drawing/2014/main" id="{00000000-0008-0000-1B00-000013000000}"/>
              </a:ext>
            </a:extLst>
          </xdr:cNvPr>
          <xdr:cNvSpPr/>
        </xdr:nvSpPr>
        <xdr:spPr>
          <a:xfrm>
            <a:off x="8943425" y="10533750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 editAs="oneCell">
    <xdr:from>
      <xdr:col>18</xdr:col>
      <xdr:colOff>625929</xdr:colOff>
      <xdr:row>53</xdr:row>
      <xdr:rowOff>149679</xdr:rowOff>
    </xdr:from>
    <xdr:to>
      <xdr:col>21</xdr:col>
      <xdr:colOff>299358</xdr:colOff>
      <xdr:row>64</xdr:row>
      <xdr:rowOff>68615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rcRect b="945"/>
        <a:stretch/>
      </xdr:blipFill>
      <xdr:spPr bwMode="auto">
        <a:xfrm>
          <a:off x="13035643" y="9878786"/>
          <a:ext cx="1959429" cy="19055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163286</xdr:colOff>
      <xdr:row>67</xdr:row>
      <xdr:rowOff>40822</xdr:rowOff>
    </xdr:from>
    <xdr:to>
      <xdr:col>18</xdr:col>
      <xdr:colOff>204108</xdr:colOff>
      <xdr:row>72</xdr:row>
      <xdr:rowOff>965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0786" y="12110358"/>
          <a:ext cx="5783036" cy="91264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504267</xdr:colOff>
      <xdr:row>22</xdr:row>
      <xdr:rowOff>78441</xdr:rowOff>
    </xdr:from>
    <xdr:to>
      <xdr:col>13</xdr:col>
      <xdr:colOff>78442</xdr:colOff>
      <xdr:row>34</xdr:row>
      <xdr:rowOff>78441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645"/>
        <a:stretch/>
      </xdr:blipFill>
      <xdr:spPr bwMode="auto">
        <a:xfrm>
          <a:off x="7642414" y="3832412"/>
          <a:ext cx="2106704" cy="18377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209550</xdr:colOff>
      <xdr:row>9</xdr:row>
      <xdr:rowOff>47625</xdr:rowOff>
    </xdr:from>
    <xdr:to>
      <xdr:col>14</xdr:col>
      <xdr:colOff>571500</xdr:colOff>
      <xdr:row>20</xdr:row>
      <xdr:rowOff>72877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1809750"/>
          <a:ext cx="3657600" cy="1437194"/>
        </a:xfrm>
        <a:prstGeom prst="rect">
          <a:avLst/>
        </a:prstGeom>
      </xdr:spPr>
    </xdr:pic>
    <xdr:clientData/>
  </xdr:twoCellAnchor>
  <xdr:twoCellAnchor editAs="oneCell">
    <xdr:from>
      <xdr:col>14</xdr:col>
      <xdr:colOff>662267</xdr:colOff>
      <xdr:row>9</xdr:row>
      <xdr:rowOff>66675</xdr:rowOff>
    </xdr:from>
    <xdr:to>
      <xdr:col>17</xdr:col>
      <xdr:colOff>661148</xdr:colOff>
      <xdr:row>48</xdr:row>
      <xdr:rowOff>121018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94943" y="1825999"/>
          <a:ext cx="2284881" cy="588140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47625</xdr:rowOff>
    </xdr:from>
    <xdr:to>
      <xdr:col>3</xdr:col>
      <xdr:colOff>714374</xdr:colOff>
      <xdr:row>4</xdr:row>
      <xdr:rowOff>173199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0100" y="42862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28575</xdr:rowOff>
    </xdr:from>
    <xdr:to>
      <xdr:col>3</xdr:col>
      <xdr:colOff>685799</xdr:colOff>
      <xdr:row>4</xdr:row>
      <xdr:rowOff>154149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9</xdr:col>
      <xdr:colOff>495300</xdr:colOff>
      <xdr:row>37</xdr:row>
      <xdr:rowOff>66676</xdr:rowOff>
    </xdr:from>
    <xdr:to>
      <xdr:col>12</xdr:col>
      <xdr:colOff>417309</xdr:colOff>
      <xdr:row>44</xdr:row>
      <xdr:rowOff>19050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39050" y="5829301"/>
          <a:ext cx="1693659" cy="942974"/>
        </a:xfrm>
        <a:prstGeom prst="rect">
          <a:avLst/>
        </a:prstGeom>
      </xdr:spPr>
    </xdr:pic>
    <xdr:clientData/>
  </xdr:twoCellAnchor>
  <xdr:twoCellAnchor>
    <xdr:from>
      <xdr:col>11</xdr:col>
      <xdr:colOff>676275</xdr:colOff>
      <xdr:row>41</xdr:row>
      <xdr:rowOff>161925</xdr:rowOff>
    </xdr:from>
    <xdr:to>
      <xdr:col>12</xdr:col>
      <xdr:colOff>381001</xdr:colOff>
      <xdr:row>43</xdr:row>
      <xdr:rowOff>19050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/>
      </xdr:nvSpPr>
      <xdr:spPr>
        <a:xfrm>
          <a:off x="8829675" y="6457950"/>
          <a:ext cx="466726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419100</xdr:colOff>
      <xdr:row>8</xdr:row>
      <xdr:rowOff>161925</xdr:rowOff>
    </xdr:from>
    <xdr:to>
      <xdr:col>13</xdr:col>
      <xdr:colOff>123826</xdr:colOff>
      <xdr:row>10</xdr:row>
      <xdr:rowOff>133350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/>
      </xdr:nvSpPr>
      <xdr:spPr>
        <a:xfrm>
          <a:off x="9334500" y="1733550"/>
          <a:ext cx="466726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164165</xdr:colOff>
      <xdr:row>22</xdr:row>
      <xdr:rowOff>48745</xdr:rowOff>
    </xdr:from>
    <xdr:to>
      <xdr:col>11</xdr:col>
      <xdr:colOff>526116</xdr:colOff>
      <xdr:row>23</xdr:row>
      <xdr:rowOff>29694</xdr:rowOff>
    </xdr:to>
    <xdr:sp macro="" textlink="">
      <xdr:nvSpPr>
        <xdr:cNvPr id="23" name="Rechteck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/>
      </xdr:nvSpPr>
      <xdr:spPr>
        <a:xfrm>
          <a:off x="8310841" y="3802716"/>
          <a:ext cx="361951" cy="1714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492497</xdr:colOff>
      <xdr:row>22</xdr:row>
      <xdr:rowOff>82363</xdr:rowOff>
    </xdr:from>
    <xdr:to>
      <xdr:col>10</xdr:col>
      <xdr:colOff>11206</xdr:colOff>
      <xdr:row>28</xdr:row>
      <xdr:rowOff>0</xdr:rowOff>
    </xdr:to>
    <xdr:sp macro="" textlink="">
      <xdr:nvSpPr>
        <xdr:cNvPr id="24" name="Rechteck 23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/>
      </xdr:nvSpPr>
      <xdr:spPr>
        <a:xfrm>
          <a:off x="7630644" y="3836334"/>
          <a:ext cx="280709" cy="7244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10</xdr:col>
      <xdr:colOff>224118</xdr:colOff>
      <xdr:row>18</xdr:row>
      <xdr:rowOff>1</xdr:rowOff>
    </xdr:from>
    <xdr:to>
      <xdr:col>11</xdr:col>
      <xdr:colOff>280148</xdr:colOff>
      <xdr:row>22</xdr:row>
      <xdr:rowOff>89647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CxnSpPr/>
      </xdr:nvCxnSpPr>
      <xdr:spPr>
        <a:xfrm flipV="1">
          <a:off x="8124265" y="2644589"/>
          <a:ext cx="302559" cy="9300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291353</xdr:colOff>
      <xdr:row>24</xdr:row>
      <xdr:rowOff>112057</xdr:rowOff>
    </xdr:from>
    <xdr:to>
      <xdr:col>15</xdr:col>
      <xdr:colOff>560295</xdr:colOff>
      <xdr:row>44</xdr:row>
      <xdr:rowOff>134470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GrpSpPr/>
      </xdr:nvGrpSpPr>
      <xdr:grpSpPr>
        <a:xfrm>
          <a:off x="11486029" y="4134969"/>
          <a:ext cx="268942" cy="3048001"/>
          <a:chOff x="11473962" y="3498605"/>
          <a:chExt cx="234461" cy="3102220"/>
        </a:xfrm>
      </xdr:grpSpPr>
      <xdr:cxnSp macro="">
        <xdr:nvCxnSpPr>
          <xdr:cNvPr id="18" name="Gerade Verbindung mit Pfeil 17">
            <a:extLst>
              <a:ext uri="{FF2B5EF4-FFF2-40B4-BE49-F238E27FC236}">
                <a16:creationId xmlns:a16="http://schemas.microsoft.com/office/drawing/2014/main" id="{00000000-0008-0000-1C00-000012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" name="Textfeld 18">
            <a:extLst>
              <a:ext uri="{FF2B5EF4-FFF2-40B4-BE49-F238E27FC236}">
                <a16:creationId xmlns:a16="http://schemas.microsoft.com/office/drawing/2014/main" id="{00000000-0008-0000-1C00-000013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5" name="Rechteck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11484220" y="4845656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9</xdr:col>
      <xdr:colOff>649941</xdr:colOff>
      <xdr:row>29</xdr:row>
      <xdr:rowOff>11206</xdr:rowOff>
    </xdr:from>
    <xdr:to>
      <xdr:col>11</xdr:col>
      <xdr:colOff>145677</xdr:colOff>
      <xdr:row>37</xdr:row>
      <xdr:rowOff>67236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CxnSpPr/>
      </xdr:nvCxnSpPr>
      <xdr:spPr>
        <a:xfrm flipV="1">
          <a:off x="7788088" y="4762500"/>
          <a:ext cx="504265" cy="13559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9</xdr:row>
      <xdr:rowOff>152398</xdr:rowOff>
    </xdr:from>
    <xdr:to>
      <xdr:col>2</xdr:col>
      <xdr:colOff>1859209</xdr:colOff>
      <xdr:row>21</xdr:row>
      <xdr:rowOff>26398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1914523"/>
          <a:ext cx="1735384" cy="21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10</xdr:row>
      <xdr:rowOff>28574</xdr:rowOff>
    </xdr:from>
    <xdr:to>
      <xdr:col>6</xdr:col>
      <xdr:colOff>1891098</xdr:colOff>
      <xdr:row>21</xdr:row>
      <xdr:rowOff>93074</xdr:rowOff>
    </xdr:to>
    <xdr:pic>
      <xdr:nvPicPr>
        <xdr:cNvPr id="3" name="Grafi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38725" y="1981199"/>
          <a:ext cx="1767273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9</xdr:row>
      <xdr:rowOff>190499</xdr:rowOff>
    </xdr:from>
    <xdr:to>
      <xdr:col>10</xdr:col>
      <xdr:colOff>1907083</xdr:colOff>
      <xdr:row>21</xdr:row>
      <xdr:rowOff>64499</xdr:rowOff>
    </xdr:to>
    <xdr:pic>
      <xdr:nvPicPr>
        <xdr:cNvPr id="4" name="Grafik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86800" y="1952624"/>
          <a:ext cx="1840408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</xdr:row>
      <xdr:rowOff>38101</xdr:rowOff>
    </xdr:from>
    <xdr:to>
      <xdr:col>4</xdr:col>
      <xdr:colOff>9525</xdr:colOff>
      <xdr:row>4</xdr:row>
      <xdr:rowOff>163675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9151" y="419101"/>
          <a:ext cx="2895599" cy="50657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638735</xdr:colOff>
      <xdr:row>60</xdr:row>
      <xdr:rowOff>169214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704104" cy="21252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6350"/>
          <a:ext cx="1775012" cy="2564530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29135</xdr:colOff>
      <xdr:row>2</xdr:row>
      <xdr:rowOff>33617</xdr:rowOff>
    </xdr:from>
    <xdr:to>
      <xdr:col>22</xdr:col>
      <xdr:colOff>674185</xdr:colOff>
      <xdr:row>22</xdr:row>
      <xdr:rowOff>138951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53174"/>
        <a:stretch/>
      </xdr:blipFill>
      <xdr:spPr>
        <a:xfrm flipH="1">
          <a:off x="7021606" y="459441"/>
          <a:ext cx="9116697" cy="3702422"/>
        </a:xfrm>
        <a:prstGeom prst="rect">
          <a:avLst/>
        </a:prstGeom>
      </xdr:spPr>
    </xdr:pic>
    <xdr:clientData/>
  </xdr:twoCellAnchor>
  <xdr:twoCellAnchor editAs="oneCell">
    <xdr:from>
      <xdr:col>9</xdr:col>
      <xdr:colOff>29133</xdr:colOff>
      <xdr:row>25</xdr:row>
      <xdr:rowOff>134472</xdr:rowOff>
    </xdr:from>
    <xdr:to>
      <xdr:col>22</xdr:col>
      <xdr:colOff>674183</xdr:colOff>
      <xdr:row>36</xdr:row>
      <xdr:rowOff>11208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7392" b="27664"/>
        <a:stretch/>
      </xdr:blipFill>
      <xdr:spPr>
        <a:xfrm flipH="1">
          <a:off x="7021604" y="4728884"/>
          <a:ext cx="9116697" cy="1972236"/>
        </a:xfrm>
        <a:prstGeom prst="rect">
          <a:avLst/>
        </a:prstGeom>
      </xdr:spPr>
    </xdr:pic>
    <xdr:clientData/>
  </xdr:twoCellAnchor>
  <xdr:twoCellAnchor editAs="oneCell">
    <xdr:from>
      <xdr:col>2</xdr:col>
      <xdr:colOff>8402</xdr:colOff>
      <xdr:row>3</xdr:row>
      <xdr:rowOff>147917</xdr:rowOff>
    </xdr:from>
    <xdr:to>
      <xdr:col>5</xdr:col>
      <xdr:colOff>588725</xdr:colOff>
      <xdr:row>45</xdr:row>
      <xdr:rowOff>38051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4852" y="767042"/>
          <a:ext cx="2999673" cy="7672059"/>
        </a:xfrm>
        <a:prstGeom prst="rect">
          <a:avLst/>
        </a:prstGeom>
      </xdr:spPr>
    </xdr:pic>
    <xdr:clientData/>
  </xdr:twoCellAnchor>
  <xdr:twoCellAnchor editAs="oneCell">
    <xdr:from>
      <xdr:col>9</xdr:col>
      <xdr:colOff>204107</xdr:colOff>
      <xdr:row>35</xdr:row>
      <xdr:rowOff>149680</xdr:rowOff>
    </xdr:from>
    <xdr:to>
      <xdr:col>22</xdr:col>
      <xdr:colOff>618828</xdr:colOff>
      <xdr:row>46</xdr:row>
      <xdr:rowOff>81643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H="1">
          <a:off x="7170964" y="6667501"/>
          <a:ext cx="8905578" cy="2027463"/>
        </a:xfrm>
        <a:prstGeom prst="rect">
          <a:avLst/>
        </a:prstGeom>
      </xdr:spPr>
    </xdr:pic>
    <xdr:clientData/>
  </xdr:twoCellAnchor>
  <xdr:twoCellAnchor editAs="oneCell">
    <xdr:from>
      <xdr:col>20</xdr:col>
      <xdr:colOff>149679</xdr:colOff>
      <xdr:row>68</xdr:row>
      <xdr:rowOff>40823</xdr:rowOff>
    </xdr:from>
    <xdr:to>
      <xdr:col>22</xdr:col>
      <xdr:colOff>530679</xdr:colOff>
      <xdr:row>75</xdr:row>
      <xdr:rowOff>99439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083393" y="12300859"/>
          <a:ext cx="1905000" cy="1392116"/>
        </a:xfrm>
        <a:prstGeom prst="rect">
          <a:avLst/>
        </a:prstGeom>
      </xdr:spPr>
    </xdr:pic>
    <xdr:clientData/>
  </xdr:twoCellAnchor>
  <xdr:twoCellAnchor>
    <xdr:from>
      <xdr:col>9</xdr:col>
      <xdr:colOff>68036</xdr:colOff>
      <xdr:row>51</xdr:row>
      <xdr:rowOff>81643</xdr:rowOff>
    </xdr:from>
    <xdr:to>
      <xdr:col>17</xdr:col>
      <xdr:colOff>481088</xdr:colOff>
      <xdr:row>60</xdr:row>
      <xdr:rowOff>110947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GrpSpPr/>
      </xdr:nvGrpSpPr>
      <xdr:grpSpPr>
        <a:xfrm>
          <a:off x="7034893" y="9429750"/>
          <a:ext cx="5039481" cy="1743804"/>
          <a:chOff x="6627727" y="9963953"/>
          <a:chExt cx="4802273" cy="1738609"/>
        </a:xfrm>
      </xdr:grpSpPr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1D00-00001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18" name="Rechteck 17">
            <a:extLst>
              <a:ext uri="{FF2B5EF4-FFF2-40B4-BE49-F238E27FC236}">
                <a16:creationId xmlns:a16="http://schemas.microsoft.com/office/drawing/2014/main" id="{00000000-0008-0000-1D00-000012000000}"/>
              </a:ext>
            </a:extLst>
          </xdr:cNvPr>
          <xdr:cNvSpPr/>
        </xdr:nvSpPr>
        <xdr:spPr>
          <a:xfrm>
            <a:off x="8917492" y="9963953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 editAs="oneCell">
    <xdr:from>
      <xdr:col>9</xdr:col>
      <xdr:colOff>108857</xdr:colOff>
      <xdr:row>65</xdr:row>
      <xdr:rowOff>176894</xdr:rowOff>
    </xdr:from>
    <xdr:to>
      <xdr:col>18</xdr:col>
      <xdr:colOff>326571</xdr:colOff>
      <xdr:row>73</xdr:row>
      <xdr:rowOff>46853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075714" y="11974287"/>
          <a:ext cx="5660571" cy="1285102"/>
        </a:xfrm>
        <a:prstGeom prst="rect">
          <a:avLst/>
        </a:prstGeom>
      </xdr:spPr>
    </xdr:pic>
    <xdr:clientData/>
  </xdr:twoCellAnchor>
  <xdr:twoCellAnchor>
    <xdr:from>
      <xdr:col>16</xdr:col>
      <xdr:colOff>408214</xdr:colOff>
      <xdr:row>64</xdr:row>
      <xdr:rowOff>68035</xdr:rowOff>
    </xdr:from>
    <xdr:to>
      <xdr:col>18</xdr:col>
      <xdr:colOff>176893</xdr:colOff>
      <xdr:row>68</xdr:row>
      <xdr:rowOff>53979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SpPr/>
      </xdr:nvSpPr>
      <xdr:spPr>
        <a:xfrm>
          <a:off x="11239500" y="11783785"/>
          <a:ext cx="1347107" cy="53023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19</xdr:col>
      <xdr:colOff>149680</xdr:colOff>
      <xdr:row>53</xdr:row>
      <xdr:rowOff>54429</xdr:rowOff>
    </xdr:from>
    <xdr:to>
      <xdr:col>22</xdr:col>
      <xdr:colOff>231322</xdr:colOff>
      <xdr:row>65</xdr:row>
      <xdr:rowOff>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1D00-000014000000}"/>
            </a:ext>
          </a:extLst>
        </xdr:cNvPr>
        <xdr:cNvPicPr/>
      </xdr:nvPicPr>
      <xdr:blipFill rotWithShape="1">
        <a:blip xmlns:r="http://schemas.openxmlformats.org/officeDocument/2006/relationships" r:embed="rId10"/>
        <a:srcRect t="645"/>
        <a:stretch/>
      </xdr:blipFill>
      <xdr:spPr bwMode="auto">
        <a:xfrm>
          <a:off x="13321394" y="9783536"/>
          <a:ext cx="2367642" cy="201385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" name="Gruppier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6" name="Gruppier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0000000-0008-0000-1E00-000007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1E00-000008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Pfeil: nach rechts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10" name="Gruppier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1E00-00000B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" name="Pfeil: nach rechts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14" name="Gruppieren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Pfeil: nach rechts 16">
            <a:extLst>
              <a:ext uri="{FF2B5EF4-FFF2-40B4-BE49-F238E27FC236}">
                <a16:creationId xmlns:a16="http://schemas.microsoft.com/office/drawing/2014/main" id="{00000000-0008-0000-1E00-000011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29309</xdr:colOff>
      <xdr:row>2</xdr:row>
      <xdr:rowOff>80596</xdr:rowOff>
    </xdr:from>
    <xdr:to>
      <xdr:col>7</xdr:col>
      <xdr:colOff>439616</xdr:colOff>
      <xdr:row>4</xdr:row>
      <xdr:rowOff>122536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1E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1309" y="461596"/>
          <a:ext cx="3956538" cy="42294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627529</xdr:colOff>
      <xdr:row>20</xdr:row>
      <xdr:rowOff>28408</xdr:rowOff>
    </xdr:from>
    <xdr:to>
      <xdr:col>15</xdr:col>
      <xdr:colOff>22412</xdr:colOff>
      <xdr:row>32</xdr:row>
      <xdr:rowOff>178645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53" y="3625496"/>
          <a:ext cx="2442883" cy="1988002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523875</xdr:colOff>
      <xdr:row>10</xdr:row>
      <xdr:rowOff>142874</xdr:rowOff>
    </xdr:from>
    <xdr:to>
      <xdr:col>17</xdr:col>
      <xdr:colOff>749381</xdr:colOff>
      <xdr:row>42</xdr:row>
      <xdr:rowOff>187649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00" y="1981199"/>
          <a:ext cx="2473406" cy="5073975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8</xdr:row>
      <xdr:rowOff>180975</xdr:rowOff>
    </xdr:from>
    <xdr:to>
      <xdr:col>15</xdr:col>
      <xdr:colOff>533400</xdr:colOff>
      <xdr:row>18</xdr:row>
      <xdr:rowOff>289870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05650" y="1752600"/>
          <a:ext cx="4333875" cy="1556695"/>
        </a:xfrm>
        <a:prstGeom prst="rect">
          <a:avLst/>
        </a:prstGeom>
      </xdr:spPr>
    </xdr:pic>
    <xdr:clientData/>
  </xdr:twoCellAnchor>
  <xdr:twoCellAnchor>
    <xdr:from>
      <xdr:col>11</xdr:col>
      <xdr:colOff>114300</xdr:colOff>
      <xdr:row>12</xdr:row>
      <xdr:rowOff>66675</xdr:rowOff>
    </xdr:from>
    <xdr:to>
      <xdr:col>11</xdr:col>
      <xdr:colOff>638175</xdr:colOff>
      <xdr:row>14</xdr:row>
      <xdr:rowOff>32657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/>
      </xdr:nvSpPr>
      <xdr:spPr>
        <a:xfrm>
          <a:off x="7972425" y="21717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19</xdr:row>
      <xdr:rowOff>171450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CxnSpPr/>
      </xdr:nvCxnSpPr>
      <xdr:spPr>
        <a:xfrm flipV="1">
          <a:off x="8877300" y="2676525"/>
          <a:ext cx="276225" cy="895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723900</xdr:colOff>
      <xdr:row>20</xdr:row>
      <xdr:rowOff>19050</xdr:rowOff>
    </xdr:from>
    <xdr:to>
      <xdr:col>12</xdr:col>
      <xdr:colOff>209550</xdr:colOff>
      <xdr:row>25</xdr:row>
      <xdr:rowOff>47625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8582025" y="3609975"/>
          <a:ext cx="247650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</xdr:col>
      <xdr:colOff>38100</xdr:colOff>
      <xdr:row>2</xdr:row>
      <xdr:rowOff>76200</xdr:rowOff>
    </xdr:from>
    <xdr:to>
      <xdr:col>5</xdr:col>
      <xdr:colOff>546588</xdr:colOff>
      <xdr:row>4</xdr:row>
      <xdr:rowOff>118140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1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0100" y="457200"/>
          <a:ext cx="3956538" cy="422940"/>
        </a:xfrm>
        <a:prstGeom prst="rect">
          <a:avLst/>
        </a:prstGeom>
      </xdr:spPr>
    </xdr:pic>
    <xdr:clientData/>
  </xdr:twoCellAnchor>
  <xdr:twoCellAnchor>
    <xdr:from>
      <xdr:col>15</xdr:col>
      <xdr:colOff>676275</xdr:colOff>
      <xdr:row>26</xdr:row>
      <xdr:rowOff>9526</xdr:rowOff>
    </xdr:from>
    <xdr:to>
      <xdr:col>15</xdr:col>
      <xdr:colOff>904875</xdr:colOff>
      <xdr:row>27</xdr:row>
      <xdr:rowOff>142876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SpPr/>
      </xdr:nvSpPr>
      <xdr:spPr>
        <a:xfrm>
          <a:off x="11582400" y="4514851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1715059</xdr:colOff>
      <xdr:row>3</xdr:row>
      <xdr:rowOff>122703</xdr:rowOff>
    </xdr:from>
    <xdr:to>
      <xdr:col>5</xdr:col>
      <xdr:colOff>626619</xdr:colOff>
      <xdr:row>44</xdr:row>
      <xdr:rowOff>85115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7971" y="739027"/>
          <a:ext cx="3685266" cy="75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8941" y="1098177"/>
          <a:ext cx="1647825" cy="2814051"/>
        </a:xfrm>
        <a:prstGeom prst="rect">
          <a:avLst/>
        </a:prstGeom>
      </xdr:spPr>
    </xdr:pic>
    <xdr:clientData/>
  </xdr:twoCellAnchor>
  <xdr:twoCellAnchor editAs="oneCell">
    <xdr:from>
      <xdr:col>1</xdr:col>
      <xdr:colOff>638735</xdr:colOff>
      <xdr:row>56</xdr:row>
      <xdr:rowOff>123263</xdr:rowOff>
    </xdr:from>
    <xdr:to>
      <xdr:col>8</xdr:col>
      <xdr:colOff>19448</xdr:colOff>
      <xdr:row>70</xdr:row>
      <xdr:rowOff>69563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2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1647" y="10174939"/>
          <a:ext cx="6339566" cy="2277124"/>
        </a:xfrm>
        <a:prstGeom prst="rect">
          <a:avLst/>
        </a:prstGeom>
      </xdr:spPr>
    </xdr:pic>
    <xdr:clientData/>
  </xdr:twoCellAnchor>
  <xdr:twoCellAnchor editAs="oneCell">
    <xdr:from>
      <xdr:col>17</xdr:col>
      <xdr:colOff>515471</xdr:colOff>
      <xdr:row>53</xdr:row>
      <xdr:rowOff>150019</xdr:rowOff>
    </xdr:from>
    <xdr:to>
      <xdr:col>21</xdr:col>
      <xdr:colOff>526676</xdr:colOff>
      <xdr:row>71</xdr:row>
      <xdr:rowOff>155707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2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606618" y="9854313"/>
          <a:ext cx="3104029" cy="2986453"/>
        </a:xfrm>
        <a:prstGeom prst="rect">
          <a:avLst/>
        </a:prstGeom>
      </xdr:spPr>
    </xdr:pic>
    <xdr:clientData/>
  </xdr:twoCellAnchor>
  <xdr:twoCellAnchor editAs="oneCell">
    <xdr:from>
      <xdr:col>10</xdr:col>
      <xdr:colOff>100852</xdr:colOff>
      <xdr:row>2</xdr:row>
      <xdr:rowOff>161605</xdr:rowOff>
    </xdr:from>
    <xdr:to>
      <xdr:col>20</xdr:col>
      <xdr:colOff>627529</xdr:colOff>
      <xdr:row>45</xdr:row>
      <xdr:rowOff>21389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2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5132"/>
        <a:stretch/>
      </xdr:blipFill>
      <xdr:spPr>
        <a:xfrm>
          <a:off x="7799293" y="587429"/>
          <a:ext cx="7250207" cy="7838372"/>
        </a:xfrm>
        <a:prstGeom prst="rect">
          <a:avLst/>
        </a:prstGeom>
      </xdr:spPr>
    </xdr:pic>
    <xdr:clientData/>
  </xdr:twoCellAnchor>
  <xdr:twoCellAnchor editAs="oneCell">
    <xdr:from>
      <xdr:col>21</xdr:col>
      <xdr:colOff>323679</xdr:colOff>
      <xdr:row>2</xdr:row>
      <xdr:rowOff>179293</xdr:rowOff>
    </xdr:from>
    <xdr:to>
      <xdr:col>28</xdr:col>
      <xdr:colOff>104456</xdr:colOff>
      <xdr:row>46</xdr:row>
      <xdr:rowOff>100852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2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507650" y="605117"/>
          <a:ext cx="5114777" cy="8090647"/>
        </a:xfrm>
        <a:prstGeom prst="rect">
          <a:avLst/>
        </a:prstGeom>
      </xdr:spPr>
    </xdr:pic>
    <xdr:clientData/>
  </xdr:twoCellAnchor>
  <xdr:twoCellAnchor editAs="oneCell">
    <xdr:from>
      <xdr:col>21</xdr:col>
      <xdr:colOff>235322</xdr:colOff>
      <xdr:row>1</xdr:row>
      <xdr:rowOff>67237</xdr:rowOff>
    </xdr:from>
    <xdr:to>
      <xdr:col>26</xdr:col>
      <xdr:colOff>416854</xdr:colOff>
      <xdr:row>2</xdr:row>
      <xdr:rowOff>165335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2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419293" y="257737"/>
          <a:ext cx="3991532" cy="333422"/>
        </a:xfrm>
        <a:prstGeom prst="rect">
          <a:avLst/>
        </a:prstGeom>
      </xdr:spPr>
    </xdr:pic>
    <xdr:clientData/>
  </xdr:twoCellAnchor>
  <xdr:twoCellAnchor editAs="oneCell">
    <xdr:from>
      <xdr:col>10</xdr:col>
      <xdr:colOff>268942</xdr:colOff>
      <xdr:row>48</xdr:row>
      <xdr:rowOff>33618</xdr:rowOff>
    </xdr:from>
    <xdr:to>
      <xdr:col>16</xdr:col>
      <xdr:colOff>705971</xdr:colOff>
      <xdr:row>71</xdr:row>
      <xdr:rowOff>12271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2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67383" y="9009530"/>
          <a:ext cx="4067735" cy="3575741"/>
        </a:xfrm>
        <a:prstGeom prst="rect">
          <a:avLst/>
        </a:prstGeom>
      </xdr:spPr>
    </xdr:pic>
    <xdr:clientData/>
  </xdr:twoCellAnchor>
  <xdr:twoCellAnchor editAs="oneCell">
    <xdr:from>
      <xdr:col>31</xdr:col>
      <xdr:colOff>33617</xdr:colOff>
      <xdr:row>21</xdr:row>
      <xdr:rowOff>100853</xdr:rowOff>
    </xdr:from>
    <xdr:to>
      <xdr:col>33</xdr:col>
      <xdr:colOff>2774578</xdr:colOff>
      <xdr:row>37</xdr:row>
      <xdr:rowOff>110805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2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851470" y="3933265"/>
          <a:ext cx="4029637" cy="3057952"/>
        </a:xfrm>
        <a:prstGeom prst="rect">
          <a:avLst/>
        </a:prstGeom>
      </xdr:spPr>
    </xdr:pic>
    <xdr:clientData/>
  </xdr:twoCellAnchor>
  <xdr:twoCellAnchor>
    <xdr:from>
      <xdr:col>30</xdr:col>
      <xdr:colOff>122464</xdr:colOff>
      <xdr:row>40</xdr:row>
      <xdr:rowOff>81644</xdr:rowOff>
    </xdr:from>
    <xdr:to>
      <xdr:col>38</xdr:col>
      <xdr:colOff>309470</xdr:colOff>
      <xdr:row>65</xdr:row>
      <xdr:rowOff>81644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6104ACE7-56C9-4986-A931-12B680E7D6D4}"/>
            </a:ext>
          </a:extLst>
        </xdr:cNvPr>
        <xdr:cNvGrpSpPr/>
      </xdr:nvGrpSpPr>
      <xdr:grpSpPr>
        <a:xfrm>
          <a:off x="21703393" y="7551965"/>
          <a:ext cx="7970291" cy="4109358"/>
          <a:chOff x="21199929" y="7892143"/>
          <a:chExt cx="10477500" cy="5402036"/>
        </a:xfrm>
      </xdr:grpSpPr>
      <xdr:grpSp>
        <xdr:nvGrpSpPr>
          <xdr:cNvPr id="7" name="Gruppieren 6">
            <a:extLst>
              <a:ext uri="{FF2B5EF4-FFF2-40B4-BE49-F238E27FC236}">
                <a16:creationId xmlns:a16="http://schemas.microsoft.com/office/drawing/2014/main" id="{53904BE3-FE2D-4AD7-B8A5-A55FC5F59D0B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3" name="Grafik 2">
              <a:extLst>
                <a:ext uri="{FF2B5EF4-FFF2-40B4-BE49-F238E27FC236}">
                  <a16:creationId xmlns:a16="http://schemas.microsoft.com/office/drawing/2014/main" id="{B5BDA6F5-36D7-4C61-BE59-F522AA58BDC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4" name="Grafik 3">
              <a:extLst>
                <a:ext uri="{FF2B5EF4-FFF2-40B4-BE49-F238E27FC236}">
                  <a16:creationId xmlns:a16="http://schemas.microsoft.com/office/drawing/2014/main" id="{CA870753-B52B-40DC-893E-7E46BB47485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5" name="Gleichschenkliges Dreieck 4">
              <a:extLst>
                <a:ext uri="{FF2B5EF4-FFF2-40B4-BE49-F238E27FC236}">
                  <a16:creationId xmlns:a16="http://schemas.microsoft.com/office/drawing/2014/main" id="{FFA01C45-3331-4C1E-9424-86D3E0EB0867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6" name="Rechteck 5">
              <a:extLst>
                <a:ext uri="{FF2B5EF4-FFF2-40B4-BE49-F238E27FC236}">
                  <a16:creationId xmlns:a16="http://schemas.microsoft.com/office/drawing/2014/main" id="{23BCE2BA-6F7B-49A3-B7E8-D21A1158E15C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19" name="Rechteck 18">
              <a:extLst>
                <a:ext uri="{FF2B5EF4-FFF2-40B4-BE49-F238E27FC236}">
                  <a16:creationId xmlns:a16="http://schemas.microsoft.com/office/drawing/2014/main" id="{EF1923BD-77F2-424F-8829-22BDC5E2C09D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9" name="Rechteck 8">
            <a:extLst>
              <a:ext uri="{FF2B5EF4-FFF2-40B4-BE49-F238E27FC236}">
                <a16:creationId xmlns:a16="http://schemas.microsoft.com/office/drawing/2014/main" id="{28A0C497-0427-46DF-8D0C-246EFD62E0C8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36</xdr:col>
      <xdr:colOff>13607</xdr:colOff>
      <xdr:row>12</xdr:row>
      <xdr:rowOff>0</xdr:rowOff>
    </xdr:from>
    <xdr:to>
      <xdr:col>38</xdr:col>
      <xdr:colOff>176893</xdr:colOff>
      <xdr:row>40</xdr:row>
      <xdr:rowOff>0</xdr:rowOff>
    </xdr:to>
    <xdr:cxnSp macro="">
      <xdr:nvCxnSpPr>
        <xdr:cNvPr id="16" name="Verbinder: gekrümmt 15">
          <a:extLst>
            <a:ext uri="{FF2B5EF4-FFF2-40B4-BE49-F238E27FC236}">
              <a16:creationId xmlns:a16="http://schemas.microsoft.com/office/drawing/2014/main" id="{0140DBF9-62E2-44BF-BB37-F7A1D8922260}"/>
            </a:ext>
          </a:extLst>
        </xdr:cNvPr>
        <xdr:cNvCxnSpPr/>
      </xdr:nvCxnSpPr>
      <xdr:spPr>
        <a:xfrm rot="16200000" flipH="1">
          <a:off x="26030464" y="3959678"/>
          <a:ext cx="5334000" cy="1687286"/>
        </a:xfrm>
        <a:prstGeom prst="curvedConnector3">
          <a:avLst>
            <a:gd name="adj1" fmla="val 0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304799</xdr:colOff>
      <xdr:row>9</xdr:row>
      <xdr:rowOff>42308</xdr:rowOff>
    </xdr:from>
    <xdr:to>
      <xdr:col>15</xdr:col>
      <xdr:colOff>352424</xdr:colOff>
      <xdr:row>19</xdr:row>
      <xdr:rowOff>44926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4" y="1804433"/>
          <a:ext cx="4105275" cy="1336118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523875</xdr:colOff>
      <xdr:row>10</xdr:row>
      <xdr:rowOff>142874</xdr:rowOff>
    </xdr:from>
    <xdr:to>
      <xdr:col>17</xdr:col>
      <xdr:colOff>749381</xdr:colOff>
      <xdr:row>44</xdr:row>
      <xdr:rowOff>6674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00" y="1981199"/>
          <a:ext cx="2473406" cy="5073975"/>
        </a:xfrm>
        <a:prstGeom prst="rect">
          <a:avLst/>
        </a:prstGeom>
      </xdr:spPr>
    </xdr:pic>
    <xdr:clientData/>
  </xdr:twoCellAnchor>
  <xdr:twoCellAnchor>
    <xdr:from>
      <xdr:col>11</xdr:col>
      <xdr:colOff>114300</xdr:colOff>
      <xdr:row>12</xdr:row>
      <xdr:rowOff>66675</xdr:rowOff>
    </xdr:from>
    <xdr:to>
      <xdr:col>11</xdr:col>
      <xdr:colOff>638175</xdr:colOff>
      <xdr:row>14</xdr:row>
      <xdr:rowOff>32657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/>
      </xdr:nvSpPr>
      <xdr:spPr>
        <a:xfrm>
          <a:off x="7972425" y="21717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20</xdr:row>
      <xdr:rowOff>171450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CxnSpPr/>
      </xdr:nvCxnSpPr>
      <xdr:spPr>
        <a:xfrm flipV="1">
          <a:off x="8877300" y="2676525"/>
          <a:ext cx="276225" cy="895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649942</xdr:colOff>
      <xdr:row>21</xdr:row>
      <xdr:rowOff>54994</xdr:rowOff>
    </xdr:from>
    <xdr:to>
      <xdr:col>15</xdr:col>
      <xdr:colOff>67236</xdr:colOff>
      <xdr:row>34</xdr:row>
      <xdr:rowOff>32969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5266" y="3540023"/>
          <a:ext cx="2465294" cy="2006240"/>
        </a:xfrm>
        <a:prstGeom prst="rect">
          <a:avLst/>
        </a:prstGeom>
      </xdr:spPr>
    </xdr:pic>
    <xdr:clientData/>
  </xdr:twoCellAnchor>
  <xdr:twoCellAnchor>
    <xdr:from>
      <xdr:col>11</xdr:col>
      <xdr:colOff>723900</xdr:colOff>
      <xdr:row>21</xdr:row>
      <xdr:rowOff>19050</xdr:rowOff>
    </xdr:from>
    <xdr:to>
      <xdr:col>12</xdr:col>
      <xdr:colOff>209550</xdr:colOff>
      <xdr:row>26</xdr:row>
      <xdr:rowOff>47625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/>
      </xdr:nvSpPr>
      <xdr:spPr>
        <a:xfrm>
          <a:off x="8582025" y="3609975"/>
          <a:ext cx="247650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</xdr:col>
      <xdr:colOff>33618</xdr:colOff>
      <xdr:row>2</xdr:row>
      <xdr:rowOff>76200</xdr:rowOff>
    </xdr:from>
    <xdr:to>
      <xdr:col>5</xdr:col>
      <xdr:colOff>542106</xdr:colOff>
      <xdr:row>4</xdr:row>
      <xdr:rowOff>118140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5618" y="457200"/>
          <a:ext cx="3959900" cy="422940"/>
        </a:xfrm>
        <a:prstGeom prst="rect">
          <a:avLst/>
        </a:prstGeom>
      </xdr:spPr>
    </xdr:pic>
    <xdr:clientData/>
  </xdr:twoCellAnchor>
  <xdr:twoCellAnchor>
    <xdr:from>
      <xdr:col>15</xdr:col>
      <xdr:colOff>676275</xdr:colOff>
      <xdr:row>27</xdr:row>
      <xdr:rowOff>133351</xdr:rowOff>
    </xdr:from>
    <xdr:to>
      <xdr:col>15</xdr:col>
      <xdr:colOff>904875</xdr:colOff>
      <xdr:row>29</xdr:row>
      <xdr:rowOff>76201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11582400" y="4524376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1715059</xdr:colOff>
      <xdr:row>3</xdr:row>
      <xdr:rowOff>122703</xdr:rowOff>
    </xdr:from>
    <xdr:to>
      <xdr:col>5</xdr:col>
      <xdr:colOff>626619</xdr:colOff>
      <xdr:row>44</xdr:row>
      <xdr:rowOff>85115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4609" y="741828"/>
          <a:ext cx="3683585" cy="7553837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5579" y="1100978"/>
          <a:ext cx="1647825" cy="2807888"/>
        </a:xfrm>
        <a:prstGeom prst="rect">
          <a:avLst/>
        </a:prstGeom>
      </xdr:spPr>
    </xdr:pic>
    <xdr:clientData/>
  </xdr:twoCellAnchor>
  <xdr:twoCellAnchor editAs="oneCell">
    <xdr:from>
      <xdr:col>17</xdr:col>
      <xdr:colOff>515471</xdr:colOff>
      <xdr:row>53</xdr:row>
      <xdr:rowOff>150019</xdr:rowOff>
    </xdr:from>
    <xdr:to>
      <xdr:col>21</xdr:col>
      <xdr:colOff>526676</xdr:colOff>
      <xdr:row>71</xdr:row>
      <xdr:rowOff>155707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602696" y="9732169"/>
          <a:ext cx="3106830" cy="2977488"/>
        </a:xfrm>
        <a:prstGeom prst="rect">
          <a:avLst/>
        </a:prstGeom>
      </xdr:spPr>
    </xdr:pic>
    <xdr:clientData/>
  </xdr:twoCellAnchor>
  <xdr:twoCellAnchor editAs="oneCell">
    <xdr:from>
      <xdr:col>10</xdr:col>
      <xdr:colOff>100852</xdr:colOff>
      <xdr:row>2</xdr:row>
      <xdr:rowOff>161605</xdr:rowOff>
    </xdr:from>
    <xdr:to>
      <xdr:col>20</xdr:col>
      <xdr:colOff>627529</xdr:colOff>
      <xdr:row>45</xdr:row>
      <xdr:rowOff>21389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5132"/>
        <a:stretch/>
      </xdr:blipFill>
      <xdr:spPr>
        <a:xfrm>
          <a:off x="7797052" y="590230"/>
          <a:ext cx="7251327" cy="7832209"/>
        </a:xfrm>
        <a:prstGeom prst="rect">
          <a:avLst/>
        </a:prstGeom>
      </xdr:spPr>
    </xdr:pic>
    <xdr:clientData/>
  </xdr:twoCellAnchor>
  <xdr:twoCellAnchor editAs="oneCell">
    <xdr:from>
      <xdr:col>21</xdr:col>
      <xdr:colOff>323679</xdr:colOff>
      <xdr:row>2</xdr:row>
      <xdr:rowOff>179293</xdr:rowOff>
    </xdr:from>
    <xdr:to>
      <xdr:col>28</xdr:col>
      <xdr:colOff>104456</xdr:colOff>
      <xdr:row>46</xdr:row>
      <xdr:rowOff>100852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506529" y="607918"/>
          <a:ext cx="5114777" cy="8084484"/>
        </a:xfrm>
        <a:prstGeom prst="rect">
          <a:avLst/>
        </a:prstGeom>
      </xdr:spPr>
    </xdr:pic>
    <xdr:clientData/>
  </xdr:twoCellAnchor>
  <xdr:twoCellAnchor editAs="oneCell">
    <xdr:from>
      <xdr:col>21</xdr:col>
      <xdr:colOff>235322</xdr:colOff>
      <xdr:row>1</xdr:row>
      <xdr:rowOff>67237</xdr:rowOff>
    </xdr:from>
    <xdr:to>
      <xdr:col>26</xdr:col>
      <xdr:colOff>416854</xdr:colOff>
      <xdr:row>2</xdr:row>
      <xdr:rowOff>165335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418172" y="257737"/>
          <a:ext cx="3991532" cy="336223"/>
        </a:xfrm>
        <a:prstGeom prst="rect">
          <a:avLst/>
        </a:prstGeom>
      </xdr:spPr>
    </xdr:pic>
    <xdr:clientData/>
  </xdr:twoCellAnchor>
  <xdr:twoCellAnchor editAs="oneCell">
    <xdr:from>
      <xdr:col>10</xdr:col>
      <xdr:colOff>268942</xdr:colOff>
      <xdr:row>48</xdr:row>
      <xdr:rowOff>33618</xdr:rowOff>
    </xdr:from>
    <xdr:to>
      <xdr:col>16</xdr:col>
      <xdr:colOff>705971</xdr:colOff>
      <xdr:row>71</xdr:row>
      <xdr:rowOff>12271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65142" y="9006168"/>
          <a:ext cx="4066054" cy="3560053"/>
        </a:xfrm>
        <a:prstGeom prst="rect">
          <a:avLst/>
        </a:prstGeom>
      </xdr:spPr>
    </xdr:pic>
    <xdr:clientData/>
  </xdr:twoCellAnchor>
  <xdr:twoCellAnchor editAs="oneCell">
    <xdr:from>
      <xdr:col>31</xdr:col>
      <xdr:colOff>33617</xdr:colOff>
      <xdr:row>21</xdr:row>
      <xdr:rowOff>100853</xdr:rowOff>
    </xdr:from>
    <xdr:to>
      <xdr:col>33</xdr:col>
      <xdr:colOff>2774578</xdr:colOff>
      <xdr:row>37</xdr:row>
      <xdr:rowOff>110805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855392" y="3929903"/>
          <a:ext cx="4026836" cy="3057952"/>
        </a:xfrm>
        <a:prstGeom prst="rect">
          <a:avLst/>
        </a:prstGeom>
      </xdr:spPr>
    </xdr:pic>
    <xdr:clientData/>
  </xdr:twoCellAnchor>
  <xdr:twoCellAnchor editAs="oneCell">
    <xdr:from>
      <xdr:col>1</xdr:col>
      <xdr:colOff>862853</xdr:colOff>
      <xdr:row>57</xdr:row>
      <xdr:rowOff>112060</xdr:rowOff>
    </xdr:from>
    <xdr:to>
      <xdr:col>8</xdr:col>
      <xdr:colOff>204783</xdr:colOff>
      <xdr:row>70</xdr:row>
      <xdr:rowOff>22412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75765" y="10354236"/>
          <a:ext cx="6300783" cy="2050676"/>
        </a:xfrm>
        <a:prstGeom prst="rect">
          <a:avLst/>
        </a:prstGeom>
      </xdr:spPr>
    </xdr:pic>
    <xdr:clientData/>
  </xdr:twoCellAnchor>
  <xdr:twoCellAnchor>
    <xdr:from>
      <xdr:col>30</xdr:col>
      <xdr:colOff>81642</xdr:colOff>
      <xdr:row>40</xdr:row>
      <xdr:rowOff>81645</xdr:rowOff>
    </xdr:from>
    <xdr:to>
      <xdr:col>38</xdr:col>
      <xdr:colOff>268648</xdr:colOff>
      <xdr:row>65</xdr:row>
      <xdr:rowOff>81645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9B612454-7323-4F2A-87B4-A83C03371594}"/>
            </a:ext>
          </a:extLst>
        </xdr:cNvPr>
        <xdr:cNvGrpSpPr/>
      </xdr:nvGrpSpPr>
      <xdr:grpSpPr>
        <a:xfrm>
          <a:off x="21662571" y="7551966"/>
          <a:ext cx="7970291" cy="4109358"/>
          <a:chOff x="21199929" y="7892143"/>
          <a:chExt cx="10477500" cy="5402036"/>
        </a:xfrm>
      </xdr:grpSpPr>
      <xdr:grpSp>
        <xdr:nvGrpSpPr>
          <xdr:cNvPr id="14" name="Gruppieren 13">
            <a:extLst>
              <a:ext uri="{FF2B5EF4-FFF2-40B4-BE49-F238E27FC236}">
                <a16:creationId xmlns:a16="http://schemas.microsoft.com/office/drawing/2014/main" id="{A425FA9F-967B-4430-8A23-D5491C385659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16" name="Grafik 15">
              <a:extLst>
                <a:ext uri="{FF2B5EF4-FFF2-40B4-BE49-F238E27FC236}">
                  <a16:creationId xmlns:a16="http://schemas.microsoft.com/office/drawing/2014/main" id="{BA212895-7A78-4067-810F-83B1A00B30A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17" name="Grafik 16">
              <a:extLst>
                <a:ext uri="{FF2B5EF4-FFF2-40B4-BE49-F238E27FC236}">
                  <a16:creationId xmlns:a16="http://schemas.microsoft.com/office/drawing/2014/main" id="{195D9D30-D29D-45F4-997D-8B9A4313351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18" name="Gleichschenkliges Dreieck 17">
              <a:extLst>
                <a:ext uri="{FF2B5EF4-FFF2-40B4-BE49-F238E27FC236}">
                  <a16:creationId xmlns:a16="http://schemas.microsoft.com/office/drawing/2014/main" id="{A0D98B50-24CC-4C51-93FE-2D52A913611A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19" name="Rechteck 18">
              <a:extLst>
                <a:ext uri="{FF2B5EF4-FFF2-40B4-BE49-F238E27FC236}">
                  <a16:creationId xmlns:a16="http://schemas.microsoft.com/office/drawing/2014/main" id="{79063C02-9DC6-49B3-8C79-078468CA9173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0" name="Rechteck 19">
              <a:extLst>
                <a:ext uri="{FF2B5EF4-FFF2-40B4-BE49-F238E27FC236}">
                  <a16:creationId xmlns:a16="http://schemas.microsoft.com/office/drawing/2014/main" id="{B4A8B16B-2ED5-4F22-BCA9-0565C0D55C42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15" name="Rechteck 14">
            <a:extLst>
              <a:ext uri="{FF2B5EF4-FFF2-40B4-BE49-F238E27FC236}">
                <a16:creationId xmlns:a16="http://schemas.microsoft.com/office/drawing/2014/main" id="{CA292E28-0FF5-4A30-9FC3-558258505DEF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35</xdr:col>
      <xdr:colOff>272142</xdr:colOff>
      <xdr:row>12</xdr:row>
      <xdr:rowOff>1</xdr:rowOff>
    </xdr:from>
    <xdr:to>
      <xdr:col>38</xdr:col>
      <xdr:colOff>136071</xdr:colOff>
      <xdr:row>40</xdr:row>
      <xdr:rowOff>1</xdr:rowOff>
    </xdr:to>
    <xdr:cxnSp macro="">
      <xdr:nvCxnSpPr>
        <xdr:cNvPr id="21" name="Verbinder: gekrümmt 20">
          <a:extLst>
            <a:ext uri="{FF2B5EF4-FFF2-40B4-BE49-F238E27FC236}">
              <a16:creationId xmlns:a16="http://schemas.microsoft.com/office/drawing/2014/main" id="{DAAE6580-1E6D-4C85-9DAF-5C55015E0F8D}"/>
            </a:ext>
          </a:extLst>
        </xdr:cNvPr>
        <xdr:cNvCxnSpPr/>
      </xdr:nvCxnSpPr>
      <xdr:spPr>
        <a:xfrm rot="16200000" flipH="1">
          <a:off x="25989642" y="3959679"/>
          <a:ext cx="5334000" cy="1687286"/>
        </a:xfrm>
        <a:prstGeom prst="curvedConnector3">
          <a:avLst>
            <a:gd name="adj1" fmla="val 0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100855</xdr:colOff>
      <xdr:row>21</xdr:row>
      <xdr:rowOff>11205</xdr:rowOff>
    </xdr:from>
    <xdr:to>
      <xdr:col>12</xdr:col>
      <xdr:colOff>459443</xdr:colOff>
      <xdr:row>34</xdr:row>
      <xdr:rowOff>43817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7649" y="3686734"/>
          <a:ext cx="2129118" cy="2060877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10</xdr:row>
      <xdr:rowOff>7727</xdr:rowOff>
    </xdr:from>
    <xdr:to>
      <xdr:col>15</xdr:col>
      <xdr:colOff>314325</xdr:colOff>
      <xdr:row>17</xdr:row>
      <xdr:rowOff>105061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2325" y="1846052"/>
          <a:ext cx="4048125" cy="1087934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523875</xdr:colOff>
      <xdr:row>10</xdr:row>
      <xdr:rowOff>142874</xdr:rowOff>
    </xdr:from>
    <xdr:to>
      <xdr:col>17</xdr:col>
      <xdr:colOff>749381</xdr:colOff>
      <xdr:row>42</xdr:row>
      <xdr:rowOff>187649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0" y="1981199"/>
          <a:ext cx="2473406" cy="5073975"/>
        </a:xfrm>
        <a:prstGeom prst="rect">
          <a:avLst/>
        </a:prstGeom>
      </xdr:spPr>
    </xdr:pic>
    <xdr:clientData/>
  </xdr:twoCellAnchor>
  <xdr:twoCellAnchor>
    <xdr:from>
      <xdr:col>13</xdr:col>
      <xdr:colOff>466725</xdr:colOff>
      <xdr:row>12</xdr:row>
      <xdr:rowOff>95250</xdr:rowOff>
    </xdr:from>
    <xdr:to>
      <xdr:col>14</xdr:col>
      <xdr:colOff>228600</xdr:colOff>
      <xdr:row>14</xdr:row>
      <xdr:rowOff>61232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/>
      </xdr:nvSpPr>
      <xdr:spPr>
        <a:xfrm>
          <a:off x="9848850" y="2200275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19</xdr:row>
      <xdr:rowOff>171450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CxnSpPr/>
      </xdr:nvCxnSpPr>
      <xdr:spPr>
        <a:xfrm flipV="1">
          <a:off x="8877300" y="2676525"/>
          <a:ext cx="276225" cy="895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20</xdr:row>
      <xdr:rowOff>19050</xdr:rowOff>
    </xdr:from>
    <xdr:to>
      <xdr:col>12</xdr:col>
      <xdr:colOff>438150</xdr:colOff>
      <xdr:row>25</xdr:row>
      <xdr:rowOff>47625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SpPr/>
      </xdr:nvSpPr>
      <xdr:spPr>
        <a:xfrm>
          <a:off x="8810625" y="3609975"/>
          <a:ext cx="247650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</xdr:col>
      <xdr:colOff>38100</xdr:colOff>
      <xdr:row>2</xdr:row>
      <xdr:rowOff>76200</xdr:rowOff>
    </xdr:from>
    <xdr:to>
      <xdr:col>5</xdr:col>
      <xdr:colOff>546588</xdr:colOff>
      <xdr:row>4</xdr:row>
      <xdr:rowOff>118140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0100" y="457200"/>
          <a:ext cx="3956538" cy="422940"/>
        </a:xfrm>
        <a:prstGeom prst="rect">
          <a:avLst/>
        </a:prstGeom>
      </xdr:spPr>
    </xdr:pic>
    <xdr:clientData/>
  </xdr:twoCellAnchor>
  <xdr:twoCellAnchor>
    <xdr:from>
      <xdr:col>15</xdr:col>
      <xdr:colOff>676275</xdr:colOff>
      <xdr:row>26</xdr:row>
      <xdr:rowOff>9526</xdr:rowOff>
    </xdr:from>
    <xdr:to>
      <xdr:col>15</xdr:col>
      <xdr:colOff>904875</xdr:colOff>
      <xdr:row>27</xdr:row>
      <xdr:rowOff>142876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11582400" y="4514851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1715059</xdr:colOff>
      <xdr:row>3</xdr:row>
      <xdr:rowOff>122703</xdr:rowOff>
    </xdr:from>
    <xdr:to>
      <xdr:col>5</xdr:col>
      <xdr:colOff>626619</xdr:colOff>
      <xdr:row>44</xdr:row>
      <xdr:rowOff>85115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4609" y="741828"/>
          <a:ext cx="3683585" cy="7553837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268941" y="1098177"/>
          <a:ext cx="1647825" cy="2814051"/>
        </a:xfrm>
        <a:prstGeom prst="rect">
          <a:avLst/>
        </a:prstGeom>
      </xdr:spPr>
    </xdr:pic>
    <xdr:clientData/>
  </xdr:twoCellAnchor>
  <xdr:twoCellAnchor editAs="oneCell">
    <xdr:from>
      <xdr:col>10</xdr:col>
      <xdr:colOff>397371</xdr:colOff>
      <xdr:row>1</xdr:row>
      <xdr:rowOff>84555</xdr:rowOff>
    </xdr:from>
    <xdr:to>
      <xdr:col>17</xdr:col>
      <xdr:colOff>7403</xdr:colOff>
      <xdr:row>2</xdr:row>
      <xdr:rowOff>182653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85407" y="275055"/>
          <a:ext cx="4005139" cy="343027"/>
        </a:xfrm>
        <a:prstGeom prst="rect">
          <a:avLst/>
        </a:prstGeom>
      </xdr:spPr>
    </xdr:pic>
    <xdr:clientData/>
  </xdr:twoCellAnchor>
  <xdr:twoCellAnchor editAs="oneCell">
    <xdr:from>
      <xdr:col>31</xdr:col>
      <xdr:colOff>196903</xdr:colOff>
      <xdr:row>24</xdr:row>
      <xdr:rowOff>19210</xdr:rowOff>
    </xdr:from>
    <xdr:to>
      <xdr:col>33</xdr:col>
      <xdr:colOff>2937864</xdr:colOff>
      <xdr:row>25</xdr:row>
      <xdr:rowOff>122465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90394"/>
        <a:stretch/>
      </xdr:blipFill>
      <xdr:spPr>
        <a:xfrm>
          <a:off x="22022760" y="4441531"/>
          <a:ext cx="4033640" cy="293755"/>
        </a:xfrm>
        <a:prstGeom prst="rect">
          <a:avLst/>
        </a:prstGeom>
      </xdr:spPr>
    </xdr:pic>
    <xdr:clientData/>
  </xdr:twoCellAnchor>
  <xdr:twoCellAnchor editAs="oneCell">
    <xdr:from>
      <xdr:col>1</xdr:col>
      <xdr:colOff>1008528</xdr:colOff>
      <xdr:row>58</xdr:row>
      <xdr:rowOff>33617</xdr:rowOff>
    </xdr:from>
    <xdr:to>
      <xdr:col>8</xdr:col>
      <xdr:colOff>262424</xdr:colOff>
      <xdr:row>68</xdr:row>
      <xdr:rowOff>134470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1440" y="10466293"/>
          <a:ext cx="6212749" cy="1669677"/>
        </a:xfrm>
        <a:prstGeom prst="rect">
          <a:avLst/>
        </a:prstGeom>
      </xdr:spPr>
    </xdr:pic>
    <xdr:clientData/>
  </xdr:twoCellAnchor>
  <xdr:twoCellAnchor editAs="oneCell">
    <xdr:from>
      <xdr:col>23</xdr:col>
      <xdr:colOff>303375</xdr:colOff>
      <xdr:row>49</xdr:row>
      <xdr:rowOff>10901</xdr:rowOff>
    </xdr:from>
    <xdr:to>
      <xdr:col>28</xdr:col>
      <xdr:colOff>561110</xdr:colOff>
      <xdr:row>51</xdr:row>
      <xdr:rowOff>70292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90818"/>
        <a:stretch/>
      </xdr:blipFill>
      <xdr:spPr>
        <a:xfrm>
          <a:off x="17015420" y="9050992"/>
          <a:ext cx="4067735" cy="319164"/>
        </a:xfrm>
        <a:prstGeom prst="rect">
          <a:avLst/>
        </a:prstGeom>
      </xdr:spPr>
    </xdr:pic>
    <xdr:clientData/>
  </xdr:twoCellAnchor>
  <xdr:twoCellAnchor editAs="oneCell">
    <xdr:from>
      <xdr:col>17</xdr:col>
      <xdr:colOff>705534</xdr:colOff>
      <xdr:row>55</xdr:row>
      <xdr:rowOff>130664</xdr:rowOff>
    </xdr:from>
    <xdr:to>
      <xdr:col>21</xdr:col>
      <xdr:colOff>693963</xdr:colOff>
      <xdr:row>73</xdr:row>
      <xdr:rowOff>20027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2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88677" y="10023057"/>
          <a:ext cx="3090857" cy="2991791"/>
        </a:xfrm>
        <a:prstGeom prst="rect">
          <a:avLst/>
        </a:prstGeom>
      </xdr:spPr>
    </xdr:pic>
    <xdr:clientData/>
  </xdr:twoCellAnchor>
  <xdr:twoCellAnchor editAs="oneCell">
    <xdr:from>
      <xdr:col>23</xdr:col>
      <xdr:colOff>653143</xdr:colOff>
      <xdr:row>51</xdr:row>
      <xdr:rowOff>81643</xdr:rowOff>
    </xdr:from>
    <xdr:to>
      <xdr:col>27</xdr:col>
      <xdr:colOff>81643</xdr:colOff>
      <xdr:row>72</xdr:row>
      <xdr:rowOff>76551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362714" y="9429750"/>
          <a:ext cx="2476500" cy="3451122"/>
        </a:xfrm>
        <a:prstGeom prst="rect">
          <a:avLst/>
        </a:prstGeom>
      </xdr:spPr>
    </xdr:pic>
    <xdr:clientData/>
  </xdr:twoCellAnchor>
  <xdr:twoCellAnchor editAs="oneCell">
    <xdr:from>
      <xdr:col>10</xdr:col>
      <xdr:colOff>102189</xdr:colOff>
      <xdr:row>3</xdr:row>
      <xdr:rowOff>40822</xdr:rowOff>
    </xdr:from>
    <xdr:to>
      <xdr:col>18</xdr:col>
      <xdr:colOff>128738</xdr:colOff>
      <xdr:row>44</xdr:row>
      <xdr:rowOff>190499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2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90225" y="666751"/>
          <a:ext cx="5238084" cy="7756069"/>
        </a:xfrm>
        <a:prstGeom prst="rect">
          <a:avLst/>
        </a:prstGeom>
      </xdr:spPr>
    </xdr:pic>
    <xdr:clientData/>
  </xdr:twoCellAnchor>
  <xdr:twoCellAnchor>
    <xdr:from>
      <xdr:col>18</xdr:col>
      <xdr:colOff>598716</xdr:colOff>
      <xdr:row>3</xdr:row>
      <xdr:rowOff>30864</xdr:rowOff>
    </xdr:from>
    <xdr:to>
      <xdr:col>29</xdr:col>
      <xdr:colOff>283577</xdr:colOff>
      <xdr:row>46</xdr:row>
      <xdr:rowOff>149745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GrpSpPr/>
      </xdr:nvGrpSpPr>
      <xdr:grpSpPr>
        <a:xfrm>
          <a:off x="13498287" y="656793"/>
          <a:ext cx="8066861" cy="8106273"/>
          <a:chOff x="13566322" y="656793"/>
          <a:chExt cx="8066861" cy="8106273"/>
        </a:xfrm>
      </xdr:grpSpPr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2400-00001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/>
          <a:srcRect r="71434"/>
          <a:stretch/>
        </xdr:blipFill>
        <xdr:spPr>
          <a:xfrm>
            <a:off x="13566322" y="656793"/>
            <a:ext cx="2952750" cy="8103553"/>
          </a:xfrm>
          <a:prstGeom prst="rect">
            <a:avLst/>
          </a:prstGeom>
        </xdr:spPr>
      </xdr:pic>
      <xdr:pic>
        <xdr:nvPicPr>
          <xdr:cNvPr id="17" name="Grafik 16">
            <a:extLst>
              <a:ext uri="{FF2B5EF4-FFF2-40B4-BE49-F238E27FC236}">
                <a16:creationId xmlns:a16="http://schemas.microsoft.com/office/drawing/2014/main" id="{00000000-0008-0000-2400-00001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/>
          <a:srcRect l="52235"/>
          <a:stretch/>
        </xdr:blipFill>
        <xdr:spPr>
          <a:xfrm>
            <a:off x="16695964" y="659513"/>
            <a:ext cx="4937219" cy="8103553"/>
          </a:xfrm>
          <a:prstGeom prst="rect">
            <a:avLst/>
          </a:prstGeom>
        </xdr:spPr>
      </xdr:pic>
    </xdr:grpSp>
    <xdr:clientData/>
  </xdr:twoCellAnchor>
  <xdr:twoCellAnchor editAs="oneCell">
    <xdr:from>
      <xdr:col>31</xdr:col>
      <xdr:colOff>13607</xdr:colOff>
      <xdr:row>25</xdr:row>
      <xdr:rowOff>136073</xdr:rowOff>
    </xdr:from>
    <xdr:to>
      <xdr:col>34</xdr:col>
      <xdr:colOff>149679</xdr:colOff>
      <xdr:row>43</xdr:row>
      <xdr:rowOff>74097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2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839464" y="4748894"/>
          <a:ext cx="5102679" cy="3367024"/>
        </a:xfrm>
        <a:prstGeom prst="rect">
          <a:avLst/>
        </a:prstGeom>
      </xdr:spPr>
    </xdr:pic>
    <xdr:clientData/>
  </xdr:twoCellAnchor>
  <xdr:twoCellAnchor>
    <xdr:from>
      <xdr:col>30</xdr:col>
      <xdr:colOff>217714</xdr:colOff>
      <xdr:row>46</xdr:row>
      <xdr:rowOff>27215</xdr:rowOff>
    </xdr:from>
    <xdr:to>
      <xdr:col>38</xdr:col>
      <xdr:colOff>404720</xdr:colOff>
      <xdr:row>71</xdr:row>
      <xdr:rowOff>136073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5272C958-F727-4036-95FF-16F053E33C5B}"/>
            </a:ext>
          </a:extLst>
        </xdr:cNvPr>
        <xdr:cNvGrpSpPr/>
      </xdr:nvGrpSpPr>
      <xdr:grpSpPr>
        <a:xfrm>
          <a:off x="21798643" y="8640536"/>
          <a:ext cx="7970291" cy="4109358"/>
          <a:chOff x="21199929" y="7892143"/>
          <a:chExt cx="10477500" cy="5402036"/>
        </a:xfrm>
      </xdr:grpSpPr>
      <xdr:grpSp>
        <xdr:nvGrpSpPr>
          <xdr:cNvPr id="21" name="Gruppieren 20">
            <a:extLst>
              <a:ext uri="{FF2B5EF4-FFF2-40B4-BE49-F238E27FC236}">
                <a16:creationId xmlns:a16="http://schemas.microsoft.com/office/drawing/2014/main" id="{2D62956F-EB10-4B88-B320-E90EEECA41C2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23" name="Grafik 22">
              <a:extLst>
                <a:ext uri="{FF2B5EF4-FFF2-40B4-BE49-F238E27FC236}">
                  <a16:creationId xmlns:a16="http://schemas.microsoft.com/office/drawing/2014/main" id="{6E4D72A3-27D8-412D-BC24-E30E5FF6406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24" name="Grafik 23">
              <a:extLst>
                <a:ext uri="{FF2B5EF4-FFF2-40B4-BE49-F238E27FC236}">
                  <a16:creationId xmlns:a16="http://schemas.microsoft.com/office/drawing/2014/main" id="{10451F45-6C1B-4AA3-B843-71C59182932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25" name="Gleichschenkliges Dreieck 24">
              <a:extLst>
                <a:ext uri="{FF2B5EF4-FFF2-40B4-BE49-F238E27FC236}">
                  <a16:creationId xmlns:a16="http://schemas.microsoft.com/office/drawing/2014/main" id="{44267616-6055-429A-AF8A-DD70C6E2B4E0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6" name="Rechteck 25">
              <a:extLst>
                <a:ext uri="{FF2B5EF4-FFF2-40B4-BE49-F238E27FC236}">
                  <a16:creationId xmlns:a16="http://schemas.microsoft.com/office/drawing/2014/main" id="{D771A157-45DB-47E4-9E02-E6CC7072D2CF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7" name="Rechteck 26">
              <a:extLst>
                <a:ext uri="{FF2B5EF4-FFF2-40B4-BE49-F238E27FC236}">
                  <a16:creationId xmlns:a16="http://schemas.microsoft.com/office/drawing/2014/main" id="{612BD578-7D99-467B-B10B-5A4D7B58B213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28E705E4-F033-4C9D-ACC7-CA5462DA52C3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36</xdr:col>
      <xdr:colOff>54430</xdr:colOff>
      <xdr:row>12</xdr:row>
      <xdr:rowOff>40820</xdr:rowOff>
    </xdr:from>
    <xdr:to>
      <xdr:col>38</xdr:col>
      <xdr:colOff>299358</xdr:colOff>
      <xdr:row>45</xdr:row>
      <xdr:rowOff>190499</xdr:rowOff>
    </xdr:to>
    <xdr:cxnSp macro="">
      <xdr:nvCxnSpPr>
        <xdr:cNvPr id="28" name="Verbinder: gekrümmt 27">
          <a:extLst>
            <a:ext uri="{FF2B5EF4-FFF2-40B4-BE49-F238E27FC236}">
              <a16:creationId xmlns:a16="http://schemas.microsoft.com/office/drawing/2014/main" id="{D903F4BE-7986-422B-98FA-26C7D2D8AD25}"/>
            </a:ext>
          </a:extLst>
        </xdr:cNvPr>
        <xdr:cNvCxnSpPr/>
      </xdr:nvCxnSpPr>
      <xdr:spPr>
        <a:xfrm rot="16200000" flipH="1">
          <a:off x="25561018" y="4510767"/>
          <a:ext cx="6436179" cy="1768928"/>
        </a:xfrm>
        <a:prstGeom prst="curvedConnector3">
          <a:avLst>
            <a:gd name="adj1" fmla="val 106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67236</xdr:colOff>
      <xdr:row>23</xdr:row>
      <xdr:rowOff>56030</xdr:rowOff>
    </xdr:from>
    <xdr:to>
      <xdr:col>12</xdr:col>
      <xdr:colOff>425824</xdr:colOff>
      <xdr:row>37</xdr:row>
      <xdr:rowOff>10202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030" y="3810001"/>
          <a:ext cx="2129118" cy="2060877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8</xdr:row>
      <xdr:rowOff>142876</xdr:rowOff>
    </xdr:from>
    <xdr:to>
      <xdr:col>15</xdr:col>
      <xdr:colOff>352425</xdr:colOff>
      <xdr:row>18</xdr:row>
      <xdr:rowOff>178760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3250" y="1714501"/>
          <a:ext cx="4305300" cy="1369384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523875</xdr:colOff>
      <xdr:row>10</xdr:row>
      <xdr:rowOff>142874</xdr:rowOff>
    </xdr:from>
    <xdr:to>
      <xdr:col>17</xdr:col>
      <xdr:colOff>749381</xdr:colOff>
      <xdr:row>44</xdr:row>
      <xdr:rowOff>6674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0" y="1981199"/>
          <a:ext cx="2473406" cy="5073975"/>
        </a:xfrm>
        <a:prstGeom prst="rect">
          <a:avLst/>
        </a:prstGeom>
      </xdr:spPr>
    </xdr:pic>
    <xdr:clientData/>
  </xdr:twoCellAnchor>
  <xdr:twoCellAnchor>
    <xdr:from>
      <xdr:col>13</xdr:col>
      <xdr:colOff>447675</xdr:colOff>
      <xdr:row>12</xdr:row>
      <xdr:rowOff>0</xdr:rowOff>
    </xdr:from>
    <xdr:to>
      <xdr:col>14</xdr:col>
      <xdr:colOff>209550</xdr:colOff>
      <xdr:row>13</xdr:row>
      <xdr:rowOff>42182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/>
      </xdr:nvSpPr>
      <xdr:spPr>
        <a:xfrm>
          <a:off x="9829800" y="2105025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20</xdr:row>
      <xdr:rowOff>171450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CxnSpPr/>
      </xdr:nvCxnSpPr>
      <xdr:spPr>
        <a:xfrm flipV="1">
          <a:off x="8877300" y="2676525"/>
          <a:ext cx="276225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141196</xdr:colOff>
      <xdr:row>22</xdr:row>
      <xdr:rowOff>164728</xdr:rowOff>
    </xdr:from>
    <xdr:to>
      <xdr:col>12</xdr:col>
      <xdr:colOff>388846</xdr:colOff>
      <xdr:row>27</xdr:row>
      <xdr:rowOff>81245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SpPr/>
      </xdr:nvSpPr>
      <xdr:spPr>
        <a:xfrm>
          <a:off x="8758520" y="3728199"/>
          <a:ext cx="247650" cy="75695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</xdr:col>
      <xdr:colOff>22412</xdr:colOff>
      <xdr:row>2</xdr:row>
      <xdr:rowOff>76200</xdr:rowOff>
    </xdr:from>
    <xdr:to>
      <xdr:col>5</xdr:col>
      <xdr:colOff>530900</xdr:colOff>
      <xdr:row>4</xdr:row>
      <xdr:rowOff>118140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412" y="457200"/>
          <a:ext cx="3959900" cy="422940"/>
        </a:xfrm>
        <a:prstGeom prst="rect">
          <a:avLst/>
        </a:prstGeom>
      </xdr:spPr>
    </xdr:pic>
    <xdr:clientData/>
  </xdr:twoCellAnchor>
  <xdr:twoCellAnchor>
    <xdr:from>
      <xdr:col>15</xdr:col>
      <xdr:colOff>676275</xdr:colOff>
      <xdr:row>27</xdr:row>
      <xdr:rowOff>66676</xdr:rowOff>
    </xdr:from>
    <xdr:to>
      <xdr:col>15</xdr:col>
      <xdr:colOff>904875</xdr:colOff>
      <xdr:row>29</xdr:row>
      <xdr:rowOff>9526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11582400" y="4457701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1715059</xdr:colOff>
      <xdr:row>3</xdr:row>
      <xdr:rowOff>122703</xdr:rowOff>
    </xdr:from>
    <xdr:to>
      <xdr:col>5</xdr:col>
      <xdr:colOff>626619</xdr:colOff>
      <xdr:row>44</xdr:row>
      <xdr:rowOff>85115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4609" y="741828"/>
          <a:ext cx="3683585" cy="7553837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260136" y="1107782"/>
          <a:ext cx="1647825" cy="2822855"/>
        </a:xfrm>
        <a:prstGeom prst="rect">
          <a:avLst/>
        </a:prstGeom>
      </xdr:spPr>
    </xdr:pic>
    <xdr:clientData/>
  </xdr:twoCellAnchor>
  <xdr:twoCellAnchor editAs="oneCell">
    <xdr:from>
      <xdr:col>10</xdr:col>
      <xdr:colOff>480250</xdr:colOff>
      <xdr:row>1</xdr:row>
      <xdr:rowOff>230523</xdr:rowOff>
    </xdr:from>
    <xdr:to>
      <xdr:col>17</xdr:col>
      <xdr:colOff>76675</xdr:colOff>
      <xdr:row>3</xdr:row>
      <xdr:rowOff>138121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68286" y="421023"/>
          <a:ext cx="3991532" cy="343027"/>
        </a:xfrm>
        <a:prstGeom prst="rect">
          <a:avLst/>
        </a:prstGeom>
      </xdr:spPr>
    </xdr:pic>
    <xdr:clientData/>
  </xdr:twoCellAnchor>
  <xdr:twoCellAnchor editAs="oneCell">
    <xdr:from>
      <xdr:col>1</xdr:col>
      <xdr:colOff>503464</xdr:colOff>
      <xdr:row>57</xdr:row>
      <xdr:rowOff>176893</xdr:rowOff>
    </xdr:from>
    <xdr:to>
      <xdr:col>7</xdr:col>
      <xdr:colOff>498745</xdr:colOff>
      <xdr:row>71</xdr:row>
      <xdr:rowOff>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7571" y="10450286"/>
          <a:ext cx="6186531" cy="2163535"/>
        </a:xfrm>
        <a:prstGeom prst="rect">
          <a:avLst/>
        </a:prstGeom>
      </xdr:spPr>
    </xdr:pic>
    <xdr:clientData/>
  </xdr:twoCellAnchor>
  <xdr:twoCellAnchor editAs="oneCell">
    <xdr:from>
      <xdr:col>25</xdr:col>
      <xdr:colOff>335539</xdr:colOff>
      <xdr:row>47</xdr:row>
      <xdr:rowOff>136070</xdr:rowOff>
    </xdr:from>
    <xdr:to>
      <xdr:col>32</xdr:col>
      <xdr:colOff>48988</xdr:colOff>
      <xdr:row>50</xdr:row>
      <xdr:rowOff>4961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0818"/>
        <a:stretch/>
      </xdr:blipFill>
      <xdr:spPr>
        <a:xfrm>
          <a:off x="18569110" y="8939891"/>
          <a:ext cx="4067735" cy="331534"/>
        </a:xfrm>
        <a:prstGeom prst="rect">
          <a:avLst/>
        </a:prstGeom>
      </xdr:spPr>
    </xdr:pic>
    <xdr:clientData/>
  </xdr:twoCellAnchor>
  <xdr:twoCellAnchor editAs="oneCell">
    <xdr:from>
      <xdr:col>19</xdr:col>
      <xdr:colOff>27214</xdr:colOff>
      <xdr:row>55</xdr:row>
      <xdr:rowOff>103449</xdr:rowOff>
    </xdr:from>
    <xdr:to>
      <xdr:col>23</xdr:col>
      <xdr:colOff>70071</xdr:colOff>
      <xdr:row>72</xdr:row>
      <xdr:rowOff>183312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88785" y="9995842"/>
          <a:ext cx="3090857" cy="2991791"/>
        </a:xfrm>
        <a:prstGeom prst="rect">
          <a:avLst/>
        </a:prstGeom>
      </xdr:spPr>
    </xdr:pic>
    <xdr:clientData/>
  </xdr:twoCellAnchor>
  <xdr:twoCellAnchor editAs="oneCell">
    <xdr:from>
      <xdr:col>25</xdr:col>
      <xdr:colOff>29251</xdr:colOff>
      <xdr:row>51</xdr:row>
      <xdr:rowOff>54428</xdr:rowOff>
    </xdr:from>
    <xdr:to>
      <xdr:col>28</xdr:col>
      <xdr:colOff>219751</xdr:colOff>
      <xdr:row>72</xdr:row>
      <xdr:rowOff>49336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262822" y="9402535"/>
          <a:ext cx="2476500" cy="3451122"/>
        </a:xfrm>
        <a:prstGeom prst="rect">
          <a:avLst/>
        </a:prstGeom>
      </xdr:spPr>
    </xdr:pic>
    <xdr:clientData/>
  </xdr:twoCellAnchor>
  <xdr:twoCellAnchor editAs="oneCell">
    <xdr:from>
      <xdr:col>10</xdr:col>
      <xdr:colOff>176893</xdr:colOff>
      <xdr:row>3</xdr:row>
      <xdr:rowOff>118815</xdr:rowOff>
    </xdr:from>
    <xdr:to>
      <xdr:col>18</xdr:col>
      <xdr:colOff>203442</xdr:colOff>
      <xdr:row>45</xdr:row>
      <xdr:rowOff>77992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64929" y="744744"/>
          <a:ext cx="5238084" cy="7756069"/>
        </a:xfrm>
        <a:prstGeom prst="rect">
          <a:avLst/>
        </a:prstGeom>
      </xdr:spPr>
    </xdr:pic>
    <xdr:clientData/>
  </xdr:twoCellAnchor>
  <xdr:twoCellAnchor>
    <xdr:from>
      <xdr:col>18</xdr:col>
      <xdr:colOff>673420</xdr:colOff>
      <xdr:row>3</xdr:row>
      <xdr:rowOff>108857</xdr:rowOff>
    </xdr:from>
    <xdr:to>
      <xdr:col>30</xdr:col>
      <xdr:colOff>58923</xdr:colOff>
      <xdr:row>47</xdr:row>
      <xdr:rowOff>37238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GrpSpPr/>
      </xdr:nvGrpSpPr>
      <xdr:grpSpPr>
        <a:xfrm>
          <a:off x="13572991" y="734786"/>
          <a:ext cx="8066861" cy="8106273"/>
          <a:chOff x="13566322" y="656793"/>
          <a:chExt cx="8066861" cy="8106273"/>
        </a:xfrm>
      </xdr:grpSpPr>
      <xdr:pic>
        <xdr:nvPicPr>
          <xdr:cNvPr id="19" name="Grafik 18">
            <a:extLst>
              <a:ext uri="{FF2B5EF4-FFF2-40B4-BE49-F238E27FC236}">
                <a16:creationId xmlns:a16="http://schemas.microsoft.com/office/drawing/2014/main" id="{00000000-0008-0000-2600-00001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r="71434"/>
          <a:stretch/>
        </xdr:blipFill>
        <xdr:spPr>
          <a:xfrm>
            <a:off x="13566322" y="656793"/>
            <a:ext cx="2952750" cy="8103553"/>
          </a:xfrm>
          <a:prstGeom prst="rect">
            <a:avLst/>
          </a:prstGeom>
        </xdr:spPr>
      </xdr:pic>
      <xdr:pic>
        <xdr:nvPicPr>
          <xdr:cNvPr id="20" name="Grafik 19">
            <a:extLst>
              <a:ext uri="{FF2B5EF4-FFF2-40B4-BE49-F238E27FC236}">
                <a16:creationId xmlns:a16="http://schemas.microsoft.com/office/drawing/2014/main" id="{00000000-0008-0000-2600-00001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l="52235"/>
          <a:stretch/>
        </xdr:blipFill>
        <xdr:spPr>
          <a:xfrm>
            <a:off x="16695964" y="659513"/>
            <a:ext cx="4937219" cy="8103553"/>
          </a:xfrm>
          <a:prstGeom prst="rect">
            <a:avLst/>
          </a:prstGeom>
        </xdr:spPr>
      </xdr:pic>
    </xdr:grpSp>
    <xdr:clientData/>
  </xdr:twoCellAnchor>
  <xdr:twoCellAnchor editAs="oneCell">
    <xdr:from>
      <xdr:col>31</xdr:col>
      <xdr:colOff>142475</xdr:colOff>
      <xdr:row>21</xdr:row>
      <xdr:rowOff>149679</xdr:rowOff>
    </xdr:from>
    <xdr:to>
      <xdr:col>33</xdr:col>
      <xdr:colOff>2883436</xdr:colOff>
      <xdr:row>23</xdr:row>
      <xdr:rowOff>62434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2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b="90394"/>
        <a:stretch/>
      </xdr:blipFill>
      <xdr:spPr>
        <a:xfrm>
          <a:off x="21968332" y="4000500"/>
          <a:ext cx="4033640" cy="293755"/>
        </a:xfrm>
        <a:prstGeom prst="rect">
          <a:avLst/>
        </a:prstGeom>
      </xdr:spPr>
    </xdr:pic>
    <xdr:clientData/>
  </xdr:twoCellAnchor>
  <xdr:twoCellAnchor editAs="oneCell">
    <xdr:from>
      <xdr:col>30</xdr:col>
      <xdr:colOff>204107</xdr:colOff>
      <xdr:row>23</xdr:row>
      <xdr:rowOff>76042</xdr:rowOff>
    </xdr:from>
    <xdr:to>
      <xdr:col>34</xdr:col>
      <xdr:colOff>95251</xdr:colOff>
      <xdr:row>41</xdr:row>
      <xdr:rowOff>14066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2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785036" y="4307863"/>
          <a:ext cx="5102679" cy="3367024"/>
        </a:xfrm>
        <a:prstGeom prst="rect">
          <a:avLst/>
        </a:prstGeom>
      </xdr:spPr>
    </xdr:pic>
    <xdr:clientData/>
  </xdr:twoCellAnchor>
  <xdr:twoCellAnchor>
    <xdr:from>
      <xdr:col>31</xdr:col>
      <xdr:colOff>653143</xdr:colOff>
      <xdr:row>41</xdr:row>
      <xdr:rowOff>176894</xdr:rowOff>
    </xdr:from>
    <xdr:to>
      <xdr:col>39</xdr:col>
      <xdr:colOff>323077</xdr:colOff>
      <xdr:row>67</xdr:row>
      <xdr:rowOff>95252</xdr:rowOff>
    </xdr:to>
    <xdr:grpSp>
      <xdr:nvGrpSpPr>
        <xdr:cNvPr id="23" name="Gruppieren 22">
          <a:extLst>
            <a:ext uri="{FF2B5EF4-FFF2-40B4-BE49-F238E27FC236}">
              <a16:creationId xmlns:a16="http://schemas.microsoft.com/office/drawing/2014/main" id="{C90E68C4-0300-4DAB-8CB5-1672B491FF44}"/>
            </a:ext>
          </a:extLst>
        </xdr:cNvPr>
        <xdr:cNvGrpSpPr/>
      </xdr:nvGrpSpPr>
      <xdr:grpSpPr>
        <a:xfrm>
          <a:off x="22479000" y="7837715"/>
          <a:ext cx="7970291" cy="4109358"/>
          <a:chOff x="21199929" y="7892143"/>
          <a:chExt cx="10477500" cy="5402036"/>
        </a:xfrm>
      </xdr:grpSpPr>
      <xdr:grpSp>
        <xdr:nvGrpSpPr>
          <xdr:cNvPr id="24" name="Gruppieren 23">
            <a:extLst>
              <a:ext uri="{FF2B5EF4-FFF2-40B4-BE49-F238E27FC236}">
                <a16:creationId xmlns:a16="http://schemas.microsoft.com/office/drawing/2014/main" id="{C679A43F-F4FA-472F-93C9-E522CFEA57A2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26" name="Grafik 25">
              <a:extLst>
                <a:ext uri="{FF2B5EF4-FFF2-40B4-BE49-F238E27FC236}">
                  <a16:creationId xmlns:a16="http://schemas.microsoft.com/office/drawing/2014/main" id="{6542A1EB-098E-40CF-9992-A53E3FD8227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27" name="Grafik 26">
              <a:extLst>
                <a:ext uri="{FF2B5EF4-FFF2-40B4-BE49-F238E27FC236}">
                  <a16:creationId xmlns:a16="http://schemas.microsoft.com/office/drawing/2014/main" id="{7A5884C1-63DD-483E-A6AE-5AD274B3DAB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28" name="Gleichschenkliges Dreieck 27">
              <a:extLst>
                <a:ext uri="{FF2B5EF4-FFF2-40B4-BE49-F238E27FC236}">
                  <a16:creationId xmlns:a16="http://schemas.microsoft.com/office/drawing/2014/main" id="{558B88D9-40FB-49BB-AE8A-2FE92E46C353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9" name="Rechteck 28">
              <a:extLst>
                <a:ext uri="{FF2B5EF4-FFF2-40B4-BE49-F238E27FC236}">
                  <a16:creationId xmlns:a16="http://schemas.microsoft.com/office/drawing/2014/main" id="{F11AAE25-2E70-4CCB-9F58-54EC6B017347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30" name="Rechteck 29">
              <a:extLst>
                <a:ext uri="{FF2B5EF4-FFF2-40B4-BE49-F238E27FC236}">
                  <a16:creationId xmlns:a16="http://schemas.microsoft.com/office/drawing/2014/main" id="{4F564890-5935-4BF2-B495-D4E9B130E8AB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25" name="Rechteck 24">
            <a:extLst>
              <a:ext uri="{FF2B5EF4-FFF2-40B4-BE49-F238E27FC236}">
                <a16:creationId xmlns:a16="http://schemas.microsoft.com/office/drawing/2014/main" id="{260150F1-6136-4CF5-80E3-45857665B2C4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35</xdr:col>
      <xdr:colOff>272141</xdr:colOff>
      <xdr:row>12</xdr:row>
      <xdr:rowOff>108857</xdr:rowOff>
    </xdr:from>
    <xdr:to>
      <xdr:col>38</xdr:col>
      <xdr:colOff>136071</xdr:colOff>
      <xdr:row>41</xdr:row>
      <xdr:rowOff>176893</xdr:rowOff>
    </xdr:to>
    <xdr:cxnSp macro="">
      <xdr:nvCxnSpPr>
        <xdr:cNvPr id="31" name="Verbinder: gekrümmt 30">
          <a:extLst>
            <a:ext uri="{FF2B5EF4-FFF2-40B4-BE49-F238E27FC236}">
              <a16:creationId xmlns:a16="http://schemas.microsoft.com/office/drawing/2014/main" id="{2E2A1345-16BB-41C0-97C1-624080CBAB2F}"/>
            </a:ext>
          </a:extLst>
        </xdr:cNvPr>
        <xdr:cNvCxnSpPr/>
      </xdr:nvCxnSpPr>
      <xdr:spPr>
        <a:xfrm rot="16200000" flipH="1">
          <a:off x="25860374" y="4197802"/>
          <a:ext cx="5592536" cy="1687287"/>
        </a:xfrm>
        <a:prstGeom prst="curvedConnector3">
          <a:avLst>
            <a:gd name="adj1" fmla="val 122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3" name="Gruppier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8" name="Grafik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24" name="Gruppieren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2" name="Grafik 1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20" name="Pfeil: nach rechts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25" name="Gruppieren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6" name="Rechteck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9" name="Grafik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21" name="Pfeil: nach rechts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26" name="Gruppieren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22" name="Pfeil: nach rechts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79864</xdr:colOff>
      <xdr:row>2</xdr:row>
      <xdr:rowOff>48358</xdr:rowOff>
    </xdr:from>
    <xdr:to>
      <xdr:col>5</xdr:col>
      <xdr:colOff>381000</xdr:colOff>
      <xdr:row>4</xdr:row>
      <xdr:rowOff>163549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41864" y="429358"/>
          <a:ext cx="2836251" cy="496191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571501</xdr:colOff>
      <xdr:row>8</xdr:row>
      <xdr:rowOff>171448</xdr:rowOff>
    </xdr:from>
    <xdr:to>
      <xdr:col>3</xdr:col>
      <xdr:colOff>605636</xdr:colOff>
      <xdr:row>20</xdr:row>
      <xdr:rowOff>45448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1" y="1695448"/>
          <a:ext cx="1558135" cy="21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8</xdr:row>
      <xdr:rowOff>152400</xdr:rowOff>
    </xdr:from>
    <xdr:to>
      <xdr:col>7</xdr:col>
      <xdr:colOff>524422</xdr:colOff>
      <xdr:row>20</xdr:row>
      <xdr:rowOff>26400</xdr:rowOff>
    </xdr:to>
    <xdr:pic>
      <xdr:nvPicPr>
        <xdr:cNvPr id="4" name="Grafi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14900" y="1676400"/>
          <a:ext cx="1505497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</xdr:row>
      <xdr:rowOff>66676</xdr:rowOff>
    </xdr:from>
    <xdr:to>
      <xdr:col>2</xdr:col>
      <xdr:colOff>590550</xdr:colOff>
      <xdr:row>4</xdr:row>
      <xdr:rowOff>164866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7725" y="447676"/>
          <a:ext cx="1266825" cy="47919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2</xdr:row>
      <xdr:rowOff>19050</xdr:rowOff>
    </xdr:from>
    <xdr:to>
      <xdr:col>3</xdr:col>
      <xdr:colOff>1304926</xdr:colOff>
      <xdr:row>4</xdr:row>
      <xdr:rowOff>170210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33626" y="400050"/>
          <a:ext cx="1257300" cy="53216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114300</xdr:rowOff>
    </xdr:from>
    <xdr:to>
      <xdr:col>2</xdr:col>
      <xdr:colOff>1853284</xdr:colOff>
      <xdr:row>4</xdr:row>
      <xdr:rowOff>187569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685800"/>
          <a:ext cx="2262859" cy="26376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38101</xdr:rowOff>
    </xdr:from>
    <xdr:to>
      <xdr:col>2</xdr:col>
      <xdr:colOff>1895475</xdr:colOff>
      <xdr:row>3</xdr:row>
      <xdr:rowOff>107325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2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419101"/>
          <a:ext cx="2305050" cy="2597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371476</xdr:colOff>
      <xdr:row>10</xdr:row>
      <xdr:rowOff>142875</xdr:rowOff>
    </xdr:from>
    <xdr:to>
      <xdr:col>2</xdr:col>
      <xdr:colOff>1998538</xdr:colOff>
      <xdr:row>22</xdr:row>
      <xdr:rowOff>16875</xdr:rowOff>
    </xdr:to>
    <xdr:pic>
      <xdr:nvPicPr>
        <xdr:cNvPr id="5" name="Grafi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6" y="2095500"/>
          <a:ext cx="2074737" cy="21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10</xdr:row>
      <xdr:rowOff>142875</xdr:rowOff>
    </xdr:from>
    <xdr:to>
      <xdr:col>6</xdr:col>
      <xdr:colOff>2038448</xdr:colOff>
      <xdr:row>22</xdr:row>
      <xdr:rowOff>16875</xdr:rowOff>
    </xdr:to>
    <xdr:pic>
      <xdr:nvPicPr>
        <xdr:cNvPr id="6" name="Grafik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53001" y="2095500"/>
          <a:ext cx="2000347" cy="216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10</xdr:row>
      <xdr:rowOff>142875</xdr:rowOff>
    </xdr:from>
    <xdr:to>
      <xdr:col>10</xdr:col>
      <xdr:colOff>1943717</xdr:colOff>
      <xdr:row>22</xdr:row>
      <xdr:rowOff>16875</xdr:rowOff>
    </xdr:to>
    <xdr:pic>
      <xdr:nvPicPr>
        <xdr:cNvPr id="7" name="Grafi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648700" y="2095500"/>
          <a:ext cx="1915142" cy="21600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" name="Gruppier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6" name="Gruppier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0000000-0008-0000-2A00-000007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2A00-000008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Pfeil: nach rechts 8">
            <a:extLst>
              <a:ext uri="{FF2B5EF4-FFF2-40B4-BE49-F238E27FC236}">
                <a16:creationId xmlns:a16="http://schemas.microsoft.com/office/drawing/2014/main" id="{00000000-0008-0000-2A00-000009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10" name="Gruppier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2A00-00000B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2A00-00000C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" name="Pfeil: nach rechts 12">
            <a:extLst>
              <a:ext uri="{FF2B5EF4-FFF2-40B4-BE49-F238E27FC236}">
                <a16:creationId xmlns:a16="http://schemas.microsoft.com/office/drawing/2014/main" id="{00000000-0008-0000-2A00-00000D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14" name="Gruppieren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A00-00000E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2A00-000010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Pfeil: nach rechts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7327</xdr:colOff>
      <xdr:row>3</xdr:row>
      <xdr:rowOff>98180</xdr:rowOff>
    </xdr:from>
    <xdr:to>
      <xdr:col>4</xdr:col>
      <xdr:colOff>497071</xdr:colOff>
      <xdr:row>4</xdr:row>
      <xdr:rowOff>171449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9327" y="669680"/>
          <a:ext cx="2262859" cy="263769"/>
        </a:xfrm>
        <a:prstGeom prst="rect">
          <a:avLst/>
        </a:prstGeom>
      </xdr:spPr>
    </xdr:pic>
    <xdr:clientData/>
  </xdr:twoCellAnchor>
  <xdr:twoCellAnchor editAs="oneCell">
    <xdr:from>
      <xdr:col>1</xdr:col>
      <xdr:colOff>7327</xdr:colOff>
      <xdr:row>2</xdr:row>
      <xdr:rowOff>21981</xdr:rowOff>
    </xdr:from>
    <xdr:to>
      <xdr:col>4</xdr:col>
      <xdr:colOff>539262</xdr:colOff>
      <xdr:row>3</xdr:row>
      <xdr:rowOff>91205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2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9327" y="402981"/>
          <a:ext cx="2305050" cy="25972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200025</xdr:colOff>
      <xdr:row>19</xdr:row>
      <xdr:rowOff>57151</xdr:rowOff>
    </xdr:from>
    <xdr:to>
      <xdr:col>14</xdr:col>
      <xdr:colOff>619125</xdr:colOff>
      <xdr:row>29</xdr:row>
      <xdr:rowOff>109214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3267076"/>
          <a:ext cx="1943100" cy="1918963"/>
        </a:xfrm>
        <a:prstGeom prst="rect">
          <a:avLst/>
        </a:prstGeom>
      </xdr:spPr>
    </xdr:pic>
    <xdr:clientData/>
  </xdr:twoCellAnchor>
  <xdr:twoCellAnchor>
    <xdr:from>
      <xdr:col>9</xdr:col>
      <xdr:colOff>514350</xdr:colOff>
      <xdr:row>8</xdr:row>
      <xdr:rowOff>142875</xdr:rowOff>
    </xdr:from>
    <xdr:to>
      <xdr:col>14</xdr:col>
      <xdr:colOff>479962</xdr:colOff>
      <xdr:row>23</xdr:row>
      <xdr:rowOff>819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GrpSpPr/>
      </xdr:nvGrpSpPr>
      <xdr:grpSpPr>
        <a:xfrm>
          <a:off x="7361144" y="1711699"/>
          <a:ext cx="3260142" cy="2345649"/>
          <a:chOff x="7362825" y="1714500"/>
          <a:chExt cx="3261262" cy="2200275"/>
        </a:xfrm>
      </xdr:grpSpPr>
      <xdr:pic>
        <xdr:nvPicPr>
          <xdr:cNvPr id="6" name="Grafik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362825" y="1771650"/>
            <a:ext cx="3261262" cy="1027967"/>
          </a:xfrm>
          <a:prstGeom prst="rect">
            <a:avLst/>
          </a:prstGeom>
        </xdr:spPr>
      </xdr:pic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2B00-000007000000}"/>
              </a:ext>
            </a:extLst>
          </xdr:cNvPr>
          <xdr:cNvSpPr/>
        </xdr:nvSpPr>
        <xdr:spPr>
          <a:xfrm>
            <a:off x="8382000" y="171450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9" name="Gerade Verbindung mit Pfeil 8">
            <a:extLst>
              <a:ext uri="{FF2B5EF4-FFF2-40B4-BE49-F238E27FC236}">
                <a16:creationId xmlns:a16="http://schemas.microsoft.com/office/drawing/2014/main" id="{00000000-0008-0000-2B00-000009000000}"/>
              </a:ext>
            </a:extLst>
          </xdr:cNvPr>
          <xdr:cNvCxnSpPr/>
        </xdr:nvCxnSpPr>
        <xdr:spPr>
          <a:xfrm flipV="1">
            <a:off x="8829675" y="2295525"/>
            <a:ext cx="752475" cy="76200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00000000-0008-0000-2B00-00000A000000}"/>
              </a:ext>
            </a:extLst>
          </xdr:cNvPr>
          <xdr:cNvSpPr/>
        </xdr:nvSpPr>
        <xdr:spPr>
          <a:xfrm>
            <a:off x="9136447" y="3165913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2B00-00000B000000}"/>
              </a:ext>
            </a:extLst>
          </xdr:cNvPr>
          <xdr:cNvSpPr/>
        </xdr:nvSpPr>
        <xdr:spPr>
          <a:xfrm>
            <a:off x="8877300" y="3162300"/>
            <a:ext cx="247650" cy="7524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400050</xdr:colOff>
      <xdr:row>4</xdr:row>
      <xdr:rowOff>178043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GrpSpPr/>
      </xdr:nvGrpSpPr>
      <xdr:grpSpPr>
        <a:xfrm>
          <a:off x="781050" y="409575"/>
          <a:ext cx="2308412" cy="530468"/>
          <a:chOff x="781050" y="409575"/>
          <a:chExt cx="2305050" cy="530468"/>
        </a:xfrm>
      </xdr:grpSpPr>
      <xdr:pic>
        <xdr:nvPicPr>
          <xdr:cNvPr id="13" name="Grafik 12">
            <a:extLst>
              <a:ext uri="{FF2B5EF4-FFF2-40B4-BE49-F238E27FC236}">
                <a16:creationId xmlns:a16="http://schemas.microsoft.com/office/drawing/2014/main" id="{00000000-0008-0000-2B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4" name="Grafik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714375</xdr:colOff>
      <xdr:row>8</xdr:row>
      <xdr:rowOff>171450</xdr:rowOff>
    </xdr:from>
    <xdr:to>
      <xdr:col>17</xdr:col>
      <xdr:colOff>695325</xdr:colOff>
      <xdr:row>42</xdr:row>
      <xdr:rowOff>39614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GrpSpPr/>
      </xdr:nvGrpSpPr>
      <xdr:grpSpPr>
        <a:xfrm>
          <a:off x="10855699" y="1740274"/>
          <a:ext cx="2266950" cy="5493516"/>
          <a:chOff x="10858500" y="1743075"/>
          <a:chExt cx="2266950" cy="5468864"/>
        </a:xfrm>
      </xdr:grpSpPr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2B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858500" y="1869819"/>
            <a:ext cx="2162175" cy="5342120"/>
          </a:xfrm>
          <a:prstGeom prst="rect">
            <a:avLst/>
          </a:prstGeom>
        </xdr:spPr>
      </xdr:pic>
      <xdr:sp macro="" textlink="">
        <xdr:nvSpPr>
          <xdr:cNvPr id="17" name="Rechteck 16">
            <a:extLst>
              <a:ext uri="{FF2B5EF4-FFF2-40B4-BE49-F238E27FC236}">
                <a16:creationId xmlns:a16="http://schemas.microsoft.com/office/drawing/2014/main" id="{00000000-0008-0000-2B00-000011000000}"/>
              </a:ext>
            </a:extLst>
          </xdr:cNvPr>
          <xdr:cNvSpPr/>
        </xdr:nvSpPr>
        <xdr:spPr>
          <a:xfrm>
            <a:off x="12715875" y="1743075"/>
            <a:ext cx="409575" cy="47625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15</xdr:col>
      <xdr:colOff>352425</xdr:colOff>
      <xdr:row>26</xdr:row>
      <xdr:rowOff>85725</xdr:rowOff>
    </xdr:from>
    <xdr:to>
      <xdr:col>15</xdr:col>
      <xdr:colOff>600075</xdr:colOff>
      <xdr:row>28</xdr:row>
      <xdr:rowOff>152400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SpPr/>
      </xdr:nvSpPr>
      <xdr:spPr>
        <a:xfrm>
          <a:off x="11258550" y="4591050"/>
          <a:ext cx="247650" cy="4476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134470</xdr:rowOff>
    </xdr:from>
    <xdr:to>
      <xdr:col>5</xdr:col>
      <xdr:colOff>762000</xdr:colOff>
      <xdr:row>46</xdr:row>
      <xdr:rowOff>33617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2C00-00000D000000}"/>
            </a:ext>
          </a:extLst>
        </xdr:cNvPr>
        <xdr:cNvGrpSpPr/>
      </xdr:nvGrpSpPr>
      <xdr:grpSpPr>
        <a:xfrm>
          <a:off x="2068286" y="760399"/>
          <a:ext cx="3184071" cy="7886539"/>
          <a:chOff x="2084294" y="750794"/>
          <a:chExt cx="3182471" cy="7877735"/>
        </a:xfrm>
      </xdr:grpSpPr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2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084294" y="806824"/>
            <a:ext cx="3165765" cy="7821705"/>
          </a:xfrm>
          <a:prstGeom prst="rect">
            <a:avLst/>
          </a:prstGeom>
        </xdr:spPr>
      </xdr:pic>
      <xdr:sp macro="" textlink="">
        <xdr:nvSpPr>
          <xdr:cNvPr id="12" name="Rechteck 11">
            <a:extLst>
              <a:ext uri="{FF2B5EF4-FFF2-40B4-BE49-F238E27FC236}">
                <a16:creationId xmlns:a16="http://schemas.microsoft.com/office/drawing/2014/main" id="{00000000-0008-0000-2C00-00000C000000}"/>
              </a:ext>
            </a:extLst>
          </xdr:cNvPr>
          <xdr:cNvSpPr/>
        </xdr:nvSpPr>
        <xdr:spPr>
          <a:xfrm>
            <a:off x="4751294" y="750794"/>
            <a:ext cx="515471" cy="560294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0</xdr:col>
      <xdr:colOff>211232</xdr:colOff>
      <xdr:row>7</xdr:row>
      <xdr:rowOff>34738</xdr:rowOff>
    </xdr:from>
    <xdr:to>
      <xdr:col>2</xdr:col>
      <xdr:colOff>36186</xdr:colOff>
      <xdr:row>21</xdr:row>
      <xdr:rowOff>67234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2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32" y="1312209"/>
          <a:ext cx="1909248" cy="2587437"/>
        </a:xfrm>
        <a:prstGeom prst="rect">
          <a:avLst/>
        </a:prstGeom>
      </xdr:spPr>
    </xdr:pic>
    <xdr:clientData/>
  </xdr:twoCellAnchor>
  <xdr:twoCellAnchor editAs="oneCell">
    <xdr:from>
      <xdr:col>8</xdr:col>
      <xdr:colOff>201706</xdr:colOff>
      <xdr:row>35</xdr:row>
      <xdr:rowOff>33618</xdr:rowOff>
    </xdr:from>
    <xdr:to>
      <xdr:col>25</xdr:col>
      <xdr:colOff>11207</xdr:colOff>
      <xdr:row>45</xdr:row>
      <xdr:rowOff>148588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2C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72454"/>
        <a:stretch/>
      </xdr:blipFill>
      <xdr:spPr>
        <a:xfrm>
          <a:off x="7070912" y="6533030"/>
          <a:ext cx="9883589" cy="2019970"/>
        </a:xfrm>
        <a:prstGeom prst="rect">
          <a:avLst/>
        </a:prstGeom>
      </xdr:spPr>
    </xdr:pic>
    <xdr:clientData/>
  </xdr:twoCellAnchor>
  <xdr:twoCellAnchor editAs="oneCell">
    <xdr:from>
      <xdr:col>8</xdr:col>
      <xdr:colOff>253253</xdr:colOff>
      <xdr:row>4</xdr:row>
      <xdr:rowOff>89646</xdr:rowOff>
    </xdr:from>
    <xdr:to>
      <xdr:col>23</xdr:col>
      <xdr:colOff>261275</xdr:colOff>
      <xdr:row>23</xdr:row>
      <xdr:rowOff>67235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2C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52209"/>
        <a:stretch/>
      </xdr:blipFill>
      <xdr:spPr>
        <a:xfrm>
          <a:off x="7122459" y="896470"/>
          <a:ext cx="9544228" cy="3384177"/>
        </a:xfrm>
        <a:prstGeom prst="rect">
          <a:avLst/>
        </a:prstGeom>
      </xdr:spPr>
    </xdr:pic>
    <xdr:clientData/>
  </xdr:twoCellAnchor>
  <xdr:twoCellAnchor editAs="oneCell">
    <xdr:from>
      <xdr:col>8</xdr:col>
      <xdr:colOff>230841</xdr:colOff>
      <xdr:row>25</xdr:row>
      <xdr:rowOff>145676</xdr:rowOff>
    </xdr:from>
    <xdr:to>
      <xdr:col>24</xdr:col>
      <xdr:colOff>145676</xdr:colOff>
      <xdr:row>35</xdr:row>
      <xdr:rowOff>50073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2C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7933" b="27063"/>
        <a:stretch/>
      </xdr:blipFill>
      <xdr:spPr>
        <a:xfrm>
          <a:off x="7100047" y="4740088"/>
          <a:ext cx="9753600" cy="1809397"/>
        </a:xfrm>
        <a:prstGeom prst="rect">
          <a:avLst/>
        </a:prstGeom>
      </xdr:spPr>
    </xdr:pic>
    <xdr:clientData/>
  </xdr:twoCellAnchor>
  <xdr:twoCellAnchor editAs="oneCell">
    <xdr:from>
      <xdr:col>1</xdr:col>
      <xdr:colOff>1703294</xdr:colOff>
      <xdr:row>49</xdr:row>
      <xdr:rowOff>177458</xdr:rowOff>
    </xdr:from>
    <xdr:to>
      <xdr:col>4</xdr:col>
      <xdr:colOff>470647</xdr:colOff>
      <xdr:row>60</xdr:row>
      <xdr:rowOff>24383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2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16206" y="9231811"/>
          <a:ext cx="2297206" cy="1942425"/>
        </a:xfrm>
        <a:prstGeom prst="rect">
          <a:avLst/>
        </a:prstGeom>
      </xdr:spPr>
    </xdr:pic>
    <xdr:clientData/>
  </xdr:twoCellAnchor>
  <xdr:twoCellAnchor editAs="oneCell">
    <xdr:from>
      <xdr:col>18</xdr:col>
      <xdr:colOff>204108</xdr:colOff>
      <xdr:row>51</xdr:row>
      <xdr:rowOff>68037</xdr:rowOff>
    </xdr:from>
    <xdr:to>
      <xdr:col>21</xdr:col>
      <xdr:colOff>748393</xdr:colOff>
      <xdr:row>66</xdr:row>
      <xdr:rowOff>114520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804322" y="9525001"/>
          <a:ext cx="2830285" cy="2795126"/>
        </a:xfrm>
        <a:prstGeom prst="rect">
          <a:avLst/>
        </a:prstGeom>
      </xdr:spPr>
    </xdr:pic>
    <xdr:clientData/>
  </xdr:twoCellAnchor>
  <xdr:twoCellAnchor editAs="oneCell">
    <xdr:from>
      <xdr:col>7</xdr:col>
      <xdr:colOff>163286</xdr:colOff>
      <xdr:row>51</xdr:row>
      <xdr:rowOff>190499</xdr:rowOff>
    </xdr:from>
    <xdr:to>
      <xdr:col>17</xdr:col>
      <xdr:colOff>471713</xdr:colOff>
      <xdr:row>61</xdr:row>
      <xdr:rowOff>4159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59286" y="9647463"/>
          <a:ext cx="5996213" cy="171866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235324</xdr:colOff>
      <xdr:row>8</xdr:row>
      <xdr:rowOff>145678</xdr:rowOff>
    </xdr:from>
    <xdr:to>
      <xdr:col>14</xdr:col>
      <xdr:colOff>574004</xdr:colOff>
      <xdr:row>18</xdr:row>
      <xdr:rowOff>100855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2118" y="1714502"/>
          <a:ext cx="3633210" cy="1299882"/>
        </a:xfrm>
        <a:prstGeom prst="rect">
          <a:avLst/>
        </a:prstGeom>
      </xdr:spPr>
    </xdr:pic>
    <xdr:clientData/>
  </xdr:twoCellAnchor>
  <xdr:twoCellAnchor editAs="oneCell">
    <xdr:from>
      <xdr:col>10</xdr:col>
      <xdr:colOff>201706</xdr:colOff>
      <xdr:row>20</xdr:row>
      <xdr:rowOff>126955</xdr:rowOff>
    </xdr:from>
    <xdr:to>
      <xdr:col>14</xdr:col>
      <xdr:colOff>369794</xdr:colOff>
      <xdr:row>32</xdr:row>
      <xdr:rowOff>45487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3421484"/>
          <a:ext cx="2700618" cy="2170915"/>
        </a:xfrm>
        <a:prstGeom prst="rect">
          <a:avLst/>
        </a:prstGeom>
      </xdr:spPr>
    </xdr:pic>
    <xdr:clientData/>
  </xdr:twoCellAnchor>
  <xdr:twoCellAnchor>
    <xdr:from>
      <xdr:col>11</xdr:col>
      <xdr:colOff>248424</xdr:colOff>
      <xdr:row>8</xdr:row>
      <xdr:rowOff>86817</xdr:rowOff>
    </xdr:from>
    <xdr:to>
      <xdr:col>14</xdr:col>
      <xdr:colOff>257735</xdr:colOff>
      <xdr:row>25</xdr:row>
      <xdr:rowOff>11204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GrpSpPr/>
      </xdr:nvGrpSpPr>
      <xdr:grpSpPr>
        <a:xfrm>
          <a:off x="8103748" y="1655641"/>
          <a:ext cx="2295311" cy="2681034"/>
          <a:chOff x="8105775" y="1657350"/>
          <a:chExt cx="2296041" cy="2405121"/>
        </a:xfrm>
      </xdr:grpSpPr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00000000-0008-0000-2D00-00000A000000}"/>
              </a:ext>
            </a:extLst>
          </xdr:cNvPr>
          <xdr:cNvSpPr/>
        </xdr:nvSpPr>
        <xdr:spPr>
          <a:xfrm>
            <a:off x="8105775" y="165735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11" name="Gerade Verbindung mit Pfeil 10">
            <a:extLst>
              <a:ext uri="{FF2B5EF4-FFF2-40B4-BE49-F238E27FC236}">
                <a16:creationId xmlns:a16="http://schemas.microsoft.com/office/drawing/2014/main" id="{00000000-0008-0000-2D00-00000B000000}"/>
              </a:ext>
            </a:extLst>
          </xdr:cNvPr>
          <xdr:cNvCxnSpPr/>
        </xdr:nvCxnSpPr>
        <xdr:spPr>
          <a:xfrm flipH="1" flipV="1">
            <a:off x="9286875" y="2362201"/>
            <a:ext cx="464793" cy="845795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Rechteck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SpPr/>
        </xdr:nvSpPr>
        <xdr:spPr>
          <a:xfrm>
            <a:off x="9136447" y="3242113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2D00-00000D000000}"/>
              </a:ext>
            </a:extLst>
          </xdr:cNvPr>
          <xdr:cNvSpPr/>
        </xdr:nvSpPr>
        <xdr:spPr>
          <a:xfrm>
            <a:off x="10003516" y="3248552"/>
            <a:ext cx="398300" cy="81391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4" name="Rechteck 13">
            <a:extLst>
              <a:ext uri="{FF2B5EF4-FFF2-40B4-BE49-F238E27FC236}">
                <a16:creationId xmlns:a16="http://schemas.microsoft.com/office/drawing/2014/main" id="{00000000-0008-0000-2D00-00000E000000}"/>
              </a:ext>
            </a:extLst>
          </xdr:cNvPr>
          <xdr:cNvSpPr/>
        </xdr:nvSpPr>
        <xdr:spPr>
          <a:xfrm>
            <a:off x="9382125" y="2486025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14</xdr:col>
      <xdr:colOff>571500</xdr:colOff>
      <xdr:row>10</xdr:row>
      <xdr:rowOff>161925</xdr:rowOff>
    </xdr:from>
    <xdr:to>
      <xdr:col>17</xdr:col>
      <xdr:colOff>552450</xdr:colOff>
      <xdr:row>46</xdr:row>
      <xdr:rowOff>30089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2D00-000010000000}"/>
            </a:ext>
          </a:extLst>
        </xdr:cNvPr>
        <xdr:cNvGrpSpPr/>
      </xdr:nvGrpSpPr>
      <xdr:grpSpPr>
        <a:xfrm>
          <a:off x="10712824" y="1999690"/>
          <a:ext cx="2266950" cy="5773664"/>
          <a:chOff x="10858500" y="1743075"/>
          <a:chExt cx="2266950" cy="5468864"/>
        </a:xfrm>
      </xdr:grpSpPr>
      <xdr:pic>
        <xdr:nvPicPr>
          <xdr:cNvPr id="17" name="Grafik 16">
            <a:extLst>
              <a:ext uri="{FF2B5EF4-FFF2-40B4-BE49-F238E27FC236}">
                <a16:creationId xmlns:a16="http://schemas.microsoft.com/office/drawing/2014/main" id="{00000000-0008-0000-2D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858500" y="1869819"/>
            <a:ext cx="2162175" cy="5342120"/>
          </a:xfrm>
          <a:prstGeom prst="rect">
            <a:avLst/>
          </a:prstGeom>
        </xdr:spPr>
      </xdr:pic>
      <xdr:sp macro="" textlink="">
        <xdr:nvSpPr>
          <xdr:cNvPr id="18" name="Rechteck 17">
            <a:extLst>
              <a:ext uri="{FF2B5EF4-FFF2-40B4-BE49-F238E27FC236}">
                <a16:creationId xmlns:a16="http://schemas.microsoft.com/office/drawing/2014/main" id="{00000000-0008-0000-2D00-000012000000}"/>
              </a:ext>
            </a:extLst>
          </xdr:cNvPr>
          <xdr:cNvSpPr/>
        </xdr:nvSpPr>
        <xdr:spPr>
          <a:xfrm>
            <a:off x="12715875" y="1743075"/>
            <a:ext cx="409575" cy="47625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15</xdr:col>
      <xdr:colOff>209550</xdr:colOff>
      <xdr:row>29</xdr:row>
      <xdr:rowOff>152400</xdr:rowOff>
    </xdr:from>
    <xdr:to>
      <xdr:col>15</xdr:col>
      <xdr:colOff>457200</xdr:colOff>
      <xdr:row>32</xdr:row>
      <xdr:rowOff>28575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2D00-000013000000}"/>
            </a:ext>
          </a:extLst>
        </xdr:cNvPr>
        <xdr:cNvSpPr/>
      </xdr:nvSpPr>
      <xdr:spPr>
        <a:xfrm>
          <a:off x="11115675" y="4733925"/>
          <a:ext cx="247650" cy="4476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9525</xdr:colOff>
      <xdr:row>2</xdr:row>
      <xdr:rowOff>28575</xdr:rowOff>
    </xdr:from>
    <xdr:to>
      <xdr:col>3</xdr:col>
      <xdr:colOff>390525</xdr:colOff>
      <xdr:row>4</xdr:row>
      <xdr:rowOff>178043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2D00-000014000000}"/>
            </a:ext>
          </a:extLst>
        </xdr:cNvPr>
        <xdr:cNvGrpSpPr/>
      </xdr:nvGrpSpPr>
      <xdr:grpSpPr>
        <a:xfrm>
          <a:off x="771525" y="409575"/>
          <a:ext cx="2308412" cy="530468"/>
          <a:chOff x="781050" y="409575"/>
          <a:chExt cx="2305050" cy="530468"/>
        </a:xfrm>
      </xdr:grpSpPr>
      <xdr:pic>
        <xdr:nvPicPr>
          <xdr:cNvPr id="21" name="Grafik 20">
            <a:extLst>
              <a:ext uri="{FF2B5EF4-FFF2-40B4-BE49-F238E27FC236}">
                <a16:creationId xmlns:a16="http://schemas.microsoft.com/office/drawing/2014/main" id="{00000000-0008-0000-2D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22" name="Grafik 21">
            <a:extLst>
              <a:ext uri="{FF2B5EF4-FFF2-40B4-BE49-F238E27FC236}">
                <a16:creationId xmlns:a16="http://schemas.microsoft.com/office/drawing/2014/main" id="{00000000-0008-0000-2D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4</xdr:row>
      <xdr:rowOff>11206</xdr:rowOff>
    </xdr:from>
    <xdr:to>
      <xdr:col>5</xdr:col>
      <xdr:colOff>773206</xdr:colOff>
      <xdr:row>46</xdr:row>
      <xdr:rowOff>100853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GrpSpPr/>
      </xdr:nvGrpSpPr>
      <xdr:grpSpPr>
        <a:xfrm>
          <a:off x="2079492" y="827635"/>
          <a:ext cx="3184071" cy="7886539"/>
          <a:chOff x="2084294" y="750794"/>
          <a:chExt cx="3182471" cy="7877735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2E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084294" y="806824"/>
            <a:ext cx="3165765" cy="7821705"/>
          </a:xfrm>
          <a:prstGeom prst="rect">
            <a:avLst/>
          </a:prstGeom>
        </xdr:spPr>
      </xdr:pic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2E00-00000D000000}"/>
              </a:ext>
            </a:extLst>
          </xdr:cNvPr>
          <xdr:cNvSpPr/>
        </xdr:nvSpPr>
        <xdr:spPr>
          <a:xfrm>
            <a:off x="4751294" y="750794"/>
            <a:ext cx="515471" cy="560294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9</xdr:col>
      <xdr:colOff>22411</xdr:colOff>
      <xdr:row>34</xdr:row>
      <xdr:rowOff>134471</xdr:rowOff>
    </xdr:from>
    <xdr:to>
      <xdr:col>22</xdr:col>
      <xdr:colOff>694764</xdr:colOff>
      <xdr:row>44</xdr:row>
      <xdr:rowOff>105131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49" t="72167"/>
        <a:stretch/>
      </xdr:blipFill>
      <xdr:spPr>
        <a:xfrm>
          <a:off x="7407087" y="6443383"/>
          <a:ext cx="9144001" cy="1875660"/>
        </a:xfrm>
        <a:prstGeom prst="rect">
          <a:avLst/>
        </a:prstGeom>
      </xdr:spPr>
    </xdr:pic>
    <xdr:clientData/>
  </xdr:twoCellAnchor>
  <xdr:twoCellAnchor editAs="oneCell">
    <xdr:from>
      <xdr:col>9</xdr:col>
      <xdr:colOff>6724</xdr:colOff>
      <xdr:row>4</xdr:row>
      <xdr:rowOff>163607</xdr:rowOff>
    </xdr:from>
    <xdr:to>
      <xdr:col>22</xdr:col>
      <xdr:colOff>679077</xdr:colOff>
      <xdr:row>23</xdr:row>
      <xdr:rowOff>11206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49" b="51711"/>
        <a:stretch/>
      </xdr:blipFill>
      <xdr:spPr>
        <a:xfrm>
          <a:off x="7391400" y="970431"/>
          <a:ext cx="9144001" cy="3254187"/>
        </a:xfrm>
        <a:prstGeom prst="rect">
          <a:avLst/>
        </a:prstGeom>
      </xdr:spPr>
    </xdr:pic>
    <xdr:clientData/>
  </xdr:twoCellAnchor>
  <xdr:twoCellAnchor editAs="oneCell">
    <xdr:from>
      <xdr:col>9</xdr:col>
      <xdr:colOff>17928</xdr:colOff>
      <xdr:row>25</xdr:row>
      <xdr:rowOff>78441</xdr:rowOff>
    </xdr:from>
    <xdr:to>
      <xdr:col>22</xdr:col>
      <xdr:colOff>690281</xdr:colOff>
      <xdr:row>34</xdr:row>
      <xdr:rowOff>33617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49" t="47790" b="27434"/>
        <a:stretch/>
      </xdr:blipFill>
      <xdr:spPr>
        <a:xfrm>
          <a:off x="7402604" y="4672853"/>
          <a:ext cx="9144001" cy="1669676"/>
        </a:xfrm>
        <a:prstGeom prst="rect">
          <a:avLst/>
        </a:prstGeom>
      </xdr:spPr>
    </xdr:pic>
    <xdr:clientData/>
  </xdr:twoCellAnchor>
  <xdr:twoCellAnchor editAs="oneCell">
    <xdr:from>
      <xdr:col>1</xdr:col>
      <xdr:colOff>1692088</xdr:colOff>
      <xdr:row>49</xdr:row>
      <xdr:rowOff>112058</xdr:rowOff>
    </xdr:from>
    <xdr:to>
      <xdr:col>4</xdr:col>
      <xdr:colOff>459441</xdr:colOff>
      <xdr:row>59</xdr:row>
      <xdr:rowOff>149483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2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0" y="9166411"/>
          <a:ext cx="2297206" cy="1942425"/>
        </a:xfrm>
        <a:prstGeom prst="rect">
          <a:avLst/>
        </a:prstGeom>
      </xdr:spPr>
    </xdr:pic>
    <xdr:clientData/>
  </xdr:twoCellAnchor>
  <xdr:twoCellAnchor editAs="oneCell">
    <xdr:from>
      <xdr:col>6</xdr:col>
      <xdr:colOff>517071</xdr:colOff>
      <xdr:row>51</xdr:row>
      <xdr:rowOff>27214</xdr:rowOff>
    </xdr:from>
    <xdr:to>
      <xdr:col>17</xdr:col>
      <xdr:colOff>361300</xdr:colOff>
      <xdr:row>59</xdr:row>
      <xdr:rowOff>163286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55178" y="9484178"/>
          <a:ext cx="6294015" cy="1660072"/>
        </a:xfrm>
        <a:prstGeom prst="rect">
          <a:avLst/>
        </a:prstGeom>
      </xdr:spPr>
    </xdr:pic>
    <xdr:clientData/>
  </xdr:twoCellAnchor>
  <xdr:twoCellAnchor editAs="oneCell">
    <xdr:from>
      <xdr:col>18</xdr:col>
      <xdr:colOff>45774</xdr:colOff>
      <xdr:row>52</xdr:row>
      <xdr:rowOff>0</xdr:rowOff>
    </xdr:from>
    <xdr:to>
      <xdr:col>22</xdr:col>
      <xdr:colOff>288289</xdr:colOff>
      <xdr:row>66</xdr:row>
      <xdr:rowOff>81643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2E00-000012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50095" y="9647464"/>
          <a:ext cx="3290515" cy="263978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537882</xdr:colOff>
      <xdr:row>20</xdr:row>
      <xdr:rowOff>179293</xdr:rowOff>
    </xdr:from>
    <xdr:to>
      <xdr:col>13</xdr:col>
      <xdr:colOff>59951</xdr:colOff>
      <xdr:row>32</xdr:row>
      <xdr:rowOff>36914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2F00-00001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b="945"/>
        <a:stretch/>
      </xdr:blipFill>
      <xdr:spPr bwMode="auto">
        <a:xfrm>
          <a:off x="7384676" y="3585881"/>
          <a:ext cx="2054599" cy="19979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192986</xdr:colOff>
      <xdr:row>8</xdr:row>
      <xdr:rowOff>38101</xdr:rowOff>
    </xdr:from>
    <xdr:to>
      <xdr:col>14</xdr:col>
      <xdr:colOff>488260</xdr:colOff>
      <xdr:row>17</xdr:row>
      <xdr:rowOff>117773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1461" y="1609726"/>
          <a:ext cx="3590924" cy="1336972"/>
        </a:xfrm>
        <a:prstGeom prst="rect">
          <a:avLst/>
        </a:prstGeom>
      </xdr:spPr>
    </xdr:pic>
    <xdr:clientData/>
  </xdr:twoCellAnchor>
  <xdr:twoCellAnchor>
    <xdr:from>
      <xdr:col>12</xdr:col>
      <xdr:colOff>258831</xdr:colOff>
      <xdr:row>8</xdr:row>
      <xdr:rowOff>126309</xdr:rowOff>
    </xdr:from>
    <xdr:to>
      <xdr:col>13</xdr:col>
      <xdr:colOff>20706</xdr:colOff>
      <xdr:row>10</xdr:row>
      <xdr:rowOff>92291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SpPr/>
      </xdr:nvSpPr>
      <xdr:spPr>
        <a:xfrm>
          <a:off x="8878956" y="1697934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171450</xdr:colOff>
      <xdr:row>12</xdr:row>
      <xdr:rowOff>152400</xdr:rowOff>
    </xdr:from>
    <xdr:to>
      <xdr:col>12</xdr:col>
      <xdr:colOff>209550</xdr:colOff>
      <xdr:row>20</xdr:row>
      <xdr:rowOff>0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CxnSpPr/>
      </xdr:nvCxnSpPr>
      <xdr:spPr>
        <a:xfrm flipH="1" flipV="1">
          <a:off x="8029575" y="2257425"/>
          <a:ext cx="800100" cy="800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78827</xdr:colOff>
      <xdr:row>20</xdr:row>
      <xdr:rowOff>164224</xdr:rowOff>
    </xdr:from>
    <xdr:to>
      <xdr:col>12</xdr:col>
      <xdr:colOff>496403</xdr:colOff>
      <xdr:row>22</xdr:row>
      <xdr:rowOff>44824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 flipV="1">
          <a:off x="8703879" y="3573517"/>
          <a:ext cx="417576" cy="14992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548276</xdr:colOff>
      <xdr:row>20</xdr:row>
      <xdr:rowOff>159297</xdr:rowOff>
    </xdr:from>
    <xdr:to>
      <xdr:col>13</xdr:col>
      <xdr:colOff>59120</xdr:colOff>
      <xdr:row>25</xdr:row>
      <xdr:rowOff>164224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SpPr/>
      </xdr:nvSpPr>
      <xdr:spPr>
        <a:xfrm>
          <a:off x="9173328" y="3568590"/>
          <a:ext cx="272844" cy="7340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47625</xdr:colOff>
      <xdr:row>2</xdr:row>
      <xdr:rowOff>38100</xdr:rowOff>
    </xdr:from>
    <xdr:to>
      <xdr:col>3</xdr:col>
      <xdr:colOff>428625</xdr:colOff>
      <xdr:row>4</xdr:row>
      <xdr:rowOff>187568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GrpSpPr/>
      </xdr:nvGrpSpPr>
      <xdr:grpSpPr>
        <a:xfrm>
          <a:off x="809625" y="419100"/>
          <a:ext cx="2308412" cy="530468"/>
          <a:chOff x="781050" y="409575"/>
          <a:chExt cx="2305050" cy="530468"/>
        </a:xfrm>
      </xdr:grpSpPr>
      <xdr:pic>
        <xdr:nvPicPr>
          <xdr:cNvPr id="13" name="Grafik 12">
            <a:extLst>
              <a:ext uri="{FF2B5EF4-FFF2-40B4-BE49-F238E27FC236}">
                <a16:creationId xmlns:a16="http://schemas.microsoft.com/office/drawing/2014/main" id="{00000000-0008-0000-2F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4" name="Grafik 13">
            <a:extLst>
              <a:ext uri="{FF2B5EF4-FFF2-40B4-BE49-F238E27FC236}">
                <a16:creationId xmlns:a16="http://schemas.microsoft.com/office/drawing/2014/main" id="{00000000-0008-0000-2F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542925</xdr:colOff>
      <xdr:row>9</xdr:row>
      <xdr:rowOff>38100</xdr:rowOff>
    </xdr:from>
    <xdr:to>
      <xdr:col>17</xdr:col>
      <xdr:colOff>523875</xdr:colOff>
      <xdr:row>43</xdr:row>
      <xdr:rowOff>96764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2F00-000014000000}"/>
            </a:ext>
          </a:extLst>
        </xdr:cNvPr>
        <xdr:cNvGrpSpPr/>
      </xdr:nvGrpSpPr>
      <xdr:grpSpPr>
        <a:xfrm>
          <a:off x="10684249" y="1797424"/>
          <a:ext cx="2266950" cy="5381458"/>
          <a:chOff x="15078075" y="4695825"/>
          <a:chExt cx="2266950" cy="5164064"/>
        </a:xfrm>
      </xdr:grpSpPr>
      <xdr:grpSp>
        <xdr:nvGrpSpPr>
          <xdr:cNvPr id="16" name="Gruppieren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GrpSpPr/>
        </xdr:nvGrpSpPr>
        <xdr:grpSpPr>
          <a:xfrm>
            <a:off x="15078075" y="4695825"/>
            <a:ext cx="2266950" cy="5164064"/>
            <a:chOff x="10858500" y="1743075"/>
            <a:chExt cx="2266950" cy="5468864"/>
          </a:xfrm>
        </xdr:grpSpPr>
        <xdr:pic>
          <xdr:nvPicPr>
            <xdr:cNvPr id="17" name="Grafik 16">
              <a:extLst>
                <a:ext uri="{FF2B5EF4-FFF2-40B4-BE49-F238E27FC236}">
                  <a16:creationId xmlns:a16="http://schemas.microsoft.com/office/drawing/2014/main" id="{00000000-0008-0000-2F00-00001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858500" y="1869819"/>
              <a:ext cx="2162175" cy="5342120"/>
            </a:xfrm>
            <a:prstGeom prst="rect">
              <a:avLst/>
            </a:prstGeom>
          </xdr:spPr>
        </xdr:pic>
        <xdr:sp macro="" textlink="">
          <xdr:nvSpPr>
            <xdr:cNvPr id="18" name="Rechteck 17">
              <a:extLst>
                <a:ext uri="{FF2B5EF4-FFF2-40B4-BE49-F238E27FC236}">
                  <a16:creationId xmlns:a16="http://schemas.microsoft.com/office/drawing/2014/main" id="{00000000-0008-0000-2F00-000012000000}"/>
                </a:ext>
              </a:extLst>
            </xdr:cNvPr>
            <xdr:cNvSpPr/>
          </xdr:nvSpPr>
          <xdr:spPr>
            <a:xfrm>
              <a:off x="12715875" y="1743075"/>
              <a:ext cx="409575" cy="47625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19" name="Rechteck 18">
            <a:extLst>
              <a:ext uri="{FF2B5EF4-FFF2-40B4-BE49-F238E27FC236}">
                <a16:creationId xmlns:a16="http://schemas.microsoft.com/office/drawing/2014/main" id="{00000000-0008-0000-2F00-000013000000}"/>
              </a:ext>
            </a:extLst>
          </xdr:cNvPr>
          <xdr:cNvSpPr/>
        </xdr:nvSpPr>
        <xdr:spPr>
          <a:xfrm>
            <a:off x="15478125" y="7415195"/>
            <a:ext cx="247650" cy="4476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>
    <xdr:from>
      <xdr:col>1</xdr:col>
      <xdr:colOff>1860176</xdr:colOff>
      <xdr:row>4</xdr:row>
      <xdr:rowOff>56029</xdr:rowOff>
    </xdr:from>
    <xdr:to>
      <xdr:col>5</xdr:col>
      <xdr:colOff>750794</xdr:colOff>
      <xdr:row>46</xdr:row>
      <xdr:rowOff>145676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GrpSpPr/>
      </xdr:nvGrpSpPr>
      <xdr:grpSpPr>
        <a:xfrm>
          <a:off x="2064283" y="872458"/>
          <a:ext cx="3176868" cy="7886539"/>
          <a:chOff x="2084294" y="750794"/>
          <a:chExt cx="3182471" cy="7877735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3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084294" y="806824"/>
            <a:ext cx="3165765" cy="7821705"/>
          </a:xfrm>
          <a:prstGeom prst="rect">
            <a:avLst/>
          </a:prstGeom>
        </xdr:spPr>
      </xdr:pic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3000-00000D000000}"/>
              </a:ext>
            </a:extLst>
          </xdr:cNvPr>
          <xdr:cNvSpPr/>
        </xdr:nvSpPr>
        <xdr:spPr>
          <a:xfrm>
            <a:off x="4751294" y="750794"/>
            <a:ext cx="515471" cy="560294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2</xdr:col>
      <xdr:colOff>515471</xdr:colOff>
      <xdr:row>49</xdr:row>
      <xdr:rowOff>168088</xdr:rowOff>
    </xdr:from>
    <xdr:to>
      <xdr:col>5</xdr:col>
      <xdr:colOff>392206</xdr:colOff>
      <xdr:row>60</xdr:row>
      <xdr:rowOff>15013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3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99765" y="9222441"/>
          <a:ext cx="2297206" cy="1942425"/>
        </a:xfrm>
        <a:prstGeom prst="rect">
          <a:avLst/>
        </a:prstGeom>
      </xdr:spPr>
    </xdr:pic>
    <xdr:clientData/>
  </xdr:twoCellAnchor>
  <xdr:twoCellAnchor editAs="oneCell">
    <xdr:from>
      <xdr:col>6</xdr:col>
      <xdr:colOff>544285</xdr:colOff>
      <xdr:row>51</xdr:row>
      <xdr:rowOff>176893</xdr:rowOff>
    </xdr:from>
    <xdr:to>
      <xdr:col>17</xdr:col>
      <xdr:colOff>253166</xdr:colOff>
      <xdr:row>60</xdr:row>
      <xdr:rowOff>54429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27964" y="9633857"/>
          <a:ext cx="6158666" cy="1592036"/>
        </a:xfrm>
        <a:prstGeom prst="rect">
          <a:avLst/>
        </a:prstGeom>
      </xdr:spPr>
    </xdr:pic>
    <xdr:clientData/>
  </xdr:twoCellAnchor>
  <xdr:twoCellAnchor editAs="oneCell">
    <xdr:from>
      <xdr:col>18</xdr:col>
      <xdr:colOff>326572</xdr:colOff>
      <xdr:row>51</xdr:row>
      <xdr:rowOff>95250</xdr:rowOff>
    </xdr:from>
    <xdr:to>
      <xdr:col>21</xdr:col>
      <xdr:colOff>312964</xdr:colOff>
      <xdr:row>63</xdr:row>
      <xdr:rowOff>127840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000-000013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b="945"/>
        <a:stretch/>
      </xdr:blipFill>
      <xdr:spPr bwMode="auto">
        <a:xfrm>
          <a:off x="13076465" y="9552214"/>
          <a:ext cx="2272392" cy="22097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54429</xdr:colOff>
      <xdr:row>3</xdr:row>
      <xdr:rowOff>190496</xdr:rowOff>
    </xdr:from>
    <xdr:to>
      <xdr:col>25</xdr:col>
      <xdr:colOff>3266</xdr:colOff>
      <xdr:row>20</xdr:row>
      <xdr:rowOff>23129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3000-000014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b="58367"/>
        <a:stretch/>
      </xdr:blipFill>
      <xdr:spPr bwMode="auto">
        <a:xfrm>
          <a:off x="7361465" y="816425"/>
          <a:ext cx="9745980" cy="2867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54429</xdr:colOff>
      <xdr:row>25</xdr:row>
      <xdr:rowOff>40822</xdr:rowOff>
    </xdr:from>
    <xdr:to>
      <xdr:col>25</xdr:col>
      <xdr:colOff>1996</xdr:colOff>
      <xdr:row>35</xdr:row>
      <xdr:rowOff>31297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3000-00001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1633" b="30839"/>
        <a:stretch/>
      </xdr:blipFill>
      <xdr:spPr bwMode="auto">
        <a:xfrm>
          <a:off x="7361465" y="4653643"/>
          <a:ext cx="9744710" cy="1895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54429</xdr:colOff>
      <xdr:row>35</xdr:row>
      <xdr:rowOff>176891</xdr:rowOff>
    </xdr:from>
    <xdr:to>
      <xdr:col>25</xdr:col>
      <xdr:colOff>3266</xdr:colOff>
      <xdr:row>46</xdr:row>
      <xdr:rowOff>157206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3000-00001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69849"/>
        <a:stretch/>
      </xdr:blipFill>
      <xdr:spPr bwMode="auto">
        <a:xfrm>
          <a:off x="7361465" y="6694712"/>
          <a:ext cx="9745980" cy="20758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145676</xdr:colOff>
      <xdr:row>21</xdr:row>
      <xdr:rowOff>291354</xdr:rowOff>
    </xdr:from>
    <xdr:to>
      <xdr:col>13</xdr:col>
      <xdr:colOff>727971</xdr:colOff>
      <xdr:row>32</xdr:row>
      <xdr:rowOff>67161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31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645"/>
        <a:stretch/>
      </xdr:blipFill>
      <xdr:spPr bwMode="auto">
        <a:xfrm>
          <a:off x="8001000" y="3776383"/>
          <a:ext cx="2106295" cy="18376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8</xdr:row>
      <xdr:rowOff>38101</xdr:rowOff>
    </xdr:from>
    <xdr:to>
      <xdr:col>14</xdr:col>
      <xdr:colOff>552450</xdr:colOff>
      <xdr:row>18</xdr:row>
      <xdr:rowOff>141795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1609726"/>
          <a:ext cx="3657600" cy="1437194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8</xdr:row>
      <xdr:rowOff>28575</xdr:rowOff>
    </xdr:from>
    <xdr:to>
      <xdr:col>13</xdr:col>
      <xdr:colOff>123825</xdr:colOff>
      <xdr:row>9</xdr:row>
      <xdr:rowOff>70757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8982075" y="16002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171450</xdr:colOff>
      <xdr:row>13</xdr:row>
      <xdr:rowOff>38100</xdr:rowOff>
    </xdr:from>
    <xdr:to>
      <xdr:col>11</xdr:col>
      <xdr:colOff>638175</xdr:colOff>
      <xdr:row>21</xdr:row>
      <xdr:rowOff>57150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CxnSpPr/>
      </xdr:nvCxnSpPr>
      <xdr:spPr>
        <a:xfrm flipH="1" flipV="1">
          <a:off x="8029575" y="2333625"/>
          <a:ext cx="466725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68647</xdr:colOff>
      <xdr:row>21</xdr:row>
      <xdr:rowOff>251263</xdr:rowOff>
    </xdr:from>
    <xdr:to>
      <xdr:col>12</xdr:col>
      <xdr:colOff>468697</xdr:colOff>
      <xdr:row>22</xdr:row>
      <xdr:rowOff>60763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8688772" y="3346888"/>
          <a:ext cx="4000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137272</xdr:colOff>
      <xdr:row>21</xdr:row>
      <xdr:rowOff>260537</xdr:rowOff>
    </xdr:from>
    <xdr:to>
      <xdr:col>11</xdr:col>
      <xdr:colOff>384922</xdr:colOff>
      <xdr:row>26</xdr:row>
      <xdr:rowOff>98612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992596" y="3745566"/>
          <a:ext cx="247650" cy="75695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590550</xdr:colOff>
      <xdr:row>14</xdr:row>
      <xdr:rowOff>123825</xdr:rowOff>
    </xdr:from>
    <xdr:to>
      <xdr:col>11</xdr:col>
      <xdr:colOff>104775</xdr:colOff>
      <xdr:row>16</xdr:row>
      <xdr:rowOff>89807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7439025" y="249555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28575</xdr:colOff>
      <xdr:row>2</xdr:row>
      <xdr:rowOff>28575</xdr:rowOff>
    </xdr:from>
    <xdr:to>
      <xdr:col>3</xdr:col>
      <xdr:colOff>409575</xdr:colOff>
      <xdr:row>4</xdr:row>
      <xdr:rowOff>178043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GrpSpPr/>
      </xdr:nvGrpSpPr>
      <xdr:grpSpPr>
        <a:xfrm>
          <a:off x="790575" y="409575"/>
          <a:ext cx="2308412" cy="530468"/>
          <a:chOff x="781050" y="409575"/>
          <a:chExt cx="2305050" cy="53046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31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31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600075</xdr:colOff>
      <xdr:row>11</xdr:row>
      <xdr:rowOff>19050</xdr:rowOff>
    </xdr:from>
    <xdr:to>
      <xdr:col>17</xdr:col>
      <xdr:colOff>476250</xdr:colOff>
      <xdr:row>44</xdr:row>
      <xdr:rowOff>29819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44200" y="2047875"/>
          <a:ext cx="2162175" cy="5430494"/>
        </a:xfrm>
        <a:prstGeom prst="rect">
          <a:avLst/>
        </a:prstGeom>
      </xdr:spPr>
    </xdr:pic>
    <xdr:clientData/>
  </xdr:twoCellAnchor>
  <xdr:twoCellAnchor>
    <xdr:from>
      <xdr:col>15</xdr:col>
      <xdr:colOff>238125</xdr:colOff>
      <xdr:row>28</xdr:row>
      <xdr:rowOff>47641</xdr:rowOff>
    </xdr:from>
    <xdr:to>
      <xdr:col>15</xdr:col>
      <xdr:colOff>485775</xdr:colOff>
      <xdr:row>30</xdr:row>
      <xdr:rowOff>130831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00000000-0008-0000-3100-000014000000}"/>
            </a:ext>
          </a:extLst>
        </xdr:cNvPr>
        <xdr:cNvSpPr/>
      </xdr:nvSpPr>
      <xdr:spPr>
        <a:xfrm>
          <a:off x="11144250" y="4819666"/>
          <a:ext cx="247650" cy="46419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280148</xdr:colOff>
      <xdr:row>18</xdr:row>
      <xdr:rowOff>112060</xdr:rowOff>
    </xdr:from>
    <xdr:to>
      <xdr:col>15</xdr:col>
      <xdr:colOff>340586</xdr:colOff>
      <xdr:row>32</xdr:row>
      <xdr:rowOff>78442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7472" y="3137648"/>
          <a:ext cx="2346438" cy="2375647"/>
        </a:xfrm>
        <a:prstGeom prst="rect">
          <a:avLst/>
        </a:prstGeom>
      </xdr:spPr>
    </xdr:pic>
    <xdr:clientData/>
  </xdr:twoCellAnchor>
  <xdr:twoCellAnchor>
    <xdr:from>
      <xdr:col>9</xdr:col>
      <xdr:colOff>536763</xdr:colOff>
      <xdr:row>8</xdr:row>
      <xdr:rowOff>109257</xdr:rowOff>
    </xdr:from>
    <xdr:to>
      <xdr:col>14</xdr:col>
      <xdr:colOff>502375</xdr:colOff>
      <xdr:row>23</xdr:row>
      <xdr:rowOff>67235</xdr:rowOff>
    </xdr:to>
    <xdr:grpSp>
      <xdr:nvGrpSpPr>
        <xdr:cNvPr id="29" name="Gruppieren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GrpSpPr/>
      </xdr:nvGrpSpPr>
      <xdr:grpSpPr>
        <a:xfrm>
          <a:off x="7383557" y="1678081"/>
          <a:ext cx="3260142" cy="2333625"/>
          <a:chOff x="7362825" y="1714500"/>
          <a:chExt cx="3261262" cy="2323503"/>
        </a:xfrm>
      </xdr:grpSpPr>
      <xdr:pic>
        <xdr:nvPicPr>
          <xdr:cNvPr id="19" name="Grafik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362825" y="1771650"/>
            <a:ext cx="3261262" cy="1027967"/>
          </a:xfrm>
          <a:prstGeom prst="rect">
            <a:avLst/>
          </a:prstGeom>
        </xdr:spPr>
      </xdr:pic>
      <xdr:sp macro="" textlink="">
        <xdr:nvSpPr>
          <xdr:cNvPr id="20" name="Rechteck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/>
        </xdr:nvSpPr>
        <xdr:spPr>
          <a:xfrm>
            <a:off x="8382000" y="171450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25" name="Gerade Verbindung mit Pfeil 24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CxnSpPr/>
        </xdr:nvCxnSpPr>
        <xdr:spPr>
          <a:xfrm flipV="1">
            <a:off x="9258390" y="2295526"/>
            <a:ext cx="323761" cy="827581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Rechteck 26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/>
        </xdr:nvSpPr>
        <xdr:spPr>
          <a:xfrm>
            <a:off x="9170077" y="3165913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28" name="Rechteck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/>
        </xdr:nvSpPr>
        <xdr:spPr>
          <a:xfrm>
            <a:off x="8832420" y="3162300"/>
            <a:ext cx="302663" cy="8757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9525</xdr:colOff>
      <xdr:row>2</xdr:row>
      <xdr:rowOff>28575</xdr:rowOff>
    </xdr:from>
    <xdr:to>
      <xdr:col>4</xdr:col>
      <xdr:colOff>219074</xdr:colOff>
      <xdr:row>4</xdr:row>
      <xdr:rowOff>154149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14</xdr:col>
      <xdr:colOff>694763</xdr:colOff>
      <xdr:row>10</xdr:row>
      <xdr:rowOff>44822</xdr:rowOff>
    </xdr:from>
    <xdr:to>
      <xdr:col>17</xdr:col>
      <xdr:colOff>561872</xdr:colOff>
      <xdr:row>42</xdr:row>
      <xdr:rowOff>156882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10836087" y="1882587"/>
          <a:ext cx="2153109" cy="5165913"/>
          <a:chOff x="10836087" y="1882587"/>
          <a:chExt cx="2153109" cy="5165913"/>
        </a:xfrm>
      </xdr:grpSpPr>
      <xdr:pic>
        <xdr:nvPicPr>
          <xdr:cNvPr id="2" name="Grafik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0836087" y="1882587"/>
            <a:ext cx="2153109" cy="5165913"/>
          </a:xfrm>
          <a:prstGeom prst="rect">
            <a:avLst/>
          </a:prstGeom>
        </xdr:spPr>
      </xdr:pic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11093824" y="4616824"/>
            <a:ext cx="212911" cy="36979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-1</xdr:colOff>
      <xdr:row>51</xdr:row>
      <xdr:rowOff>168090</xdr:rowOff>
    </xdr:from>
    <xdr:to>
      <xdr:col>18</xdr:col>
      <xdr:colOff>212911</xdr:colOff>
      <xdr:row>59</xdr:row>
      <xdr:rowOff>145786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1824" y="9597840"/>
          <a:ext cx="5642162" cy="1501696"/>
        </a:xfrm>
        <a:prstGeom prst="rect">
          <a:avLst/>
        </a:prstGeom>
      </xdr:spPr>
    </xdr:pic>
    <xdr:clientData/>
  </xdr:twoCellAnchor>
  <xdr:twoCellAnchor>
    <xdr:from>
      <xdr:col>1</xdr:col>
      <xdr:colOff>1725706</xdr:colOff>
      <xdr:row>3</xdr:row>
      <xdr:rowOff>123264</xdr:rowOff>
    </xdr:from>
    <xdr:to>
      <xdr:col>5</xdr:col>
      <xdr:colOff>521074</xdr:colOff>
      <xdr:row>46</xdr:row>
      <xdr:rowOff>22411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GrpSpPr/>
      </xdr:nvGrpSpPr>
      <xdr:grpSpPr>
        <a:xfrm>
          <a:off x="1929813" y="749193"/>
          <a:ext cx="3081618" cy="7886539"/>
          <a:chOff x="2084294" y="750794"/>
          <a:chExt cx="3182471" cy="7877735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32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084294" y="806824"/>
            <a:ext cx="3165765" cy="7821705"/>
          </a:xfrm>
          <a:prstGeom prst="rect">
            <a:avLst/>
          </a:prstGeom>
        </xdr:spPr>
      </xdr:pic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3200-00000D000000}"/>
              </a:ext>
            </a:extLst>
          </xdr:cNvPr>
          <xdr:cNvSpPr/>
        </xdr:nvSpPr>
        <xdr:spPr>
          <a:xfrm>
            <a:off x="4751294" y="750794"/>
            <a:ext cx="515471" cy="560294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18</xdr:col>
      <xdr:colOff>680357</xdr:colOff>
      <xdr:row>51</xdr:row>
      <xdr:rowOff>54429</xdr:rowOff>
    </xdr:from>
    <xdr:to>
      <xdr:col>22</xdr:col>
      <xdr:colOff>136071</xdr:colOff>
      <xdr:row>63</xdr:row>
      <xdr:rowOff>61714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645"/>
        <a:stretch/>
      </xdr:blipFill>
      <xdr:spPr bwMode="auto">
        <a:xfrm>
          <a:off x="13090071" y="9511393"/>
          <a:ext cx="2503714" cy="21844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68036</xdr:colOff>
      <xdr:row>5</xdr:row>
      <xdr:rowOff>81642</xdr:rowOff>
    </xdr:from>
    <xdr:to>
      <xdr:col>25</xdr:col>
      <xdr:colOff>15603</xdr:colOff>
      <xdr:row>20</xdr:row>
      <xdr:rowOff>171450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b="58781"/>
        <a:stretch/>
      </xdr:blipFill>
      <xdr:spPr bwMode="auto">
        <a:xfrm>
          <a:off x="7034893" y="1088571"/>
          <a:ext cx="9744710" cy="2743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68036</xdr:colOff>
      <xdr:row>25</xdr:row>
      <xdr:rowOff>40823</xdr:rowOff>
    </xdr:from>
    <xdr:to>
      <xdr:col>25</xdr:col>
      <xdr:colOff>14333</xdr:colOff>
      <xdr:row>35</xdr:row>
      <xdr:rowOff>2723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200-000013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1076" b="30870"/>
        <a:stretch/>
      </xdr:blipFill>
      <xdr:spPr bwMode="auto">
        <a:xfrm>
          <a:off x="7034893" y="4653644"/>
          <a:ext cx="9743440" cy="1866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68036</xdr:colOff>
      <xdr:row>35</xdr:row>
      <xdr:rowOff>176893</xdr:rowOff>
    </xdr:from>
    <xdr:to>
      <xdr:col>25</xdr:col>
      <xdr:colOff>15603</xdr:colOff>
      <xdr:row>46</xdr:row>
      <xdr:rowOff>116568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3200-000014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69414"/>
        <a:stretch/>
      </xdr:blipFill>
      <xdr:spPr bwMode="auto">
        <a:xfrm>
          <a:off x="7034893" y="6694714"/>
          <a:ext cx="9744710" cy="20351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" name="Gruppier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6" name="Gruppier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0000000-0008-0000-3300-000007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3300-000008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Pfeil: nach rechts 8">
            <a:extLst>
              <a:ext uri="{FF2B5EF4-FFF2-40B4-BE49-F238E27FC236}">
                <a16:creationId xmlns:a16="http://schemas.microsoft.com/office/drawing/2014/main" id="{00000000-0008-0000-3300-000009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10" name="Gruppier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3300-00000B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3300-00000C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" name="Pfeil: nach rechts 12">
            <a:extLst>
              <a:ext uri="{FF2B5EF4-FFF2-40B4-BE49-F238E27FC236}">
                <a16:creationId xmlns:a16="http://schemas.microsoft.com/office/drawing/2014/main" id="{00000000-0008-0000-3300-00000D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14" name="Gruppieren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3300-00000F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3300-000010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Pfeil: nach rechts 16">
            <a:extLst>
              <a:ext uri="{FF2B5EF4-FFF2-40B4-BE49-F238E27FC236}">
                <a16:creationId xmlns:a16="http://schemas.microsoft.com/office/drawing/2014/main" id="{00000000-0008-0000-3300-000011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7327</xdr:colOff>
      <xdr:row>3</xdr:row>
      <xdr:rowOff>98180</xdr:rowOff>
    </xdr:from>
    <xdr:to>
      <xdr:col>4</xdr:col>
      <xdr:colOff>497071</xdr:colOff>
      <xdr:row>4</xdr:row>
      <xdr:rowOff>171449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3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9327" y="669680"/>
          <a:ext cx="2261394" cy="263769"/>
        </a:xfrm>
        <a:prstGeom prst="rect">
          <a:avLst/>
        </a:prstGeom>
      </xdr:spPr>
    </xdr:pic>
    <xdr:clientData/>
  </xdr:twoCellAnchor>
  <xdr:twoCellAnchor editAs="oneCell">
    <xdr:from>
      <xdr:col>1</xdr:col>
      <xdr:colOff>7327</xdr:colOff>
      <xdr:row>2</xdr:row>
      <xdr:rowOff>21981</xdr:rowOff>
    </xdr:from>
    <xdr:to>
      <xdr:col>4</xdr:col>
      <xdr:colOff>539262</xdr:colOff>
      <xdr:row>3</xdr:row>
      <xdr:rowOff>91205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9327" y="402981"/>
          <a:ext cx="2303585" cy="259724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89647</xdr:colOff>
      <xdr:row>21</xdr:row>
      <xdr:rowOff>212912</xdr:rowOff>
    </xdr:from>
    <xdr:to>
      <xdr:col>13</xdr:col>
      <xdr:colOff>384922</xdr:colOff>
      <xdr:row>33</xdr:row>
      <xdr:rowOff>163803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3400-00001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8441" y="3697941"/>
          <a:ext cx="2065805" cy="2091215"/>
        </a:xfrm>
        <a:prstGeom prst="rect">
          <a:avLst/>
        </a:prstGeom>
      </xdr:spPr>
    </xdr:pic>
    <xdr:clientData/>
  </xdr:twoCellAnchor>
  <xdr:twoCellAnchor>
    <xdr:from>
      <xdr:col>9</xdr:col>
      <xdr:colOff>529004</xdr:colOff>
      <xdr:row>8</xdr:row>
      <xdr:rowOff>150202</xdr:rowOff>
    </xdr:from>
    <xdr:to>
      <xdr:col>14</xdr:col>
      <xdr:colOff>494616</xdr:colOff>
      <xdr:row>26</xdr:row>
      <xdr:rowOff>117232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7375798" y="1719026"/>
          <a:ext cx="3260142" cy="2802118"/>
          <a:chOff x="7362825" y="1714500"/>
          <a:chExt cx="3261262" cy="2356531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362825" y="1771650"/>
            <a:ext cx="3261262" cy="1027967"/>
          </a:xfrm>
          <a:prstGeom prst="rect">
            <a:avLst/>
          </a:prstGeom>
        </xdr:spPr>
      </xdr:pic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382000" y="171450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CxnSpPr/>
        </xdr:nvCxnSpPr>
        <xdr:spPr>
          <a:xfrm flipV="1">
            <a:off x="8829675" y="2295525"/>
            <a:ext cx="752475" cy="76200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3400-000007000000}"/>
              </a:ext>
            </a:extLst>
          </xdr:cNvPr>
          <xdr:cNvSpPr/>
        </xdr:nvSpPr>
        <xdr:spPr>
          <a:xfrm>
            <a:off x="7964666" y="3390601"/>
            <a:ext cx="400050" cy="17181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3400-000008000000}"/>
              </a:ext>
            </a:extLst>
          </xdr:cNvPr>
          <xdr:cNvSpPr/>
        </xdr:nvSpPr>
        <xdr:spPr>
          <a:xfrm>
            <a:off x="7623605" y="3382782"/>
            <a:ext cx="301675" cy="68824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400050</xdr:colOff>
      <xdr:row>4</xdr:row>
      <xdr:rowOff>178043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GrpSpPr/>
      </xdr:nvGrpSpPr>
      <xdr:grpSpPr>
        <a:xfrm>
          <a:off x="781050" y="409575"/>
          <a:ext cx="2308412" cy="530468"/>
          <a:chOff x="781050" y="409575"/>
          <a:chExt cx="2305050" cy="530468"/>
        </a:xfrm>
      </xdr:grpSpPr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34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3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209550</xdr:colOff>
      <xdr:row>28</xdr:row>
      <xdr:rowOff>142875</xdr:rowOff>
    </xdr:from>
    <xdr:to>
      <xdr:col>15</xdr:col>
      <xdr:colOff>457200</xdr:colOff>
      <xdr:row>31</xdr:row>
      <xdr:rowOff>19050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11115675" y="4648200"/>
          <a:ext cx="247650" cy="4476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15</xdr:col>
      <xdr:colOff>9525</xdr:colOff>
      <xdr:row>8</xdr:row>
      <xdr:rowOff>66675</xdr:rowOff>
    </xdr:from>
    <xdr:to>
      <xdr:col>17</xdr:col>
      <xdr:colOff>666750</xdr:colOff>
      <xdr:row>45</xdr:row>
      <xdr:rowOff>163136</xdr:rowOff>
    </xdr:to>
    <xdr:grpSp>
      <xdr:nvGrpSpPr>
        <xdr:cNvPr id="19" name="Gruppieren 18">
          <a:extLst>
            <a:ext uri="{FF2B5EF4-FFF2-40B4-BE49-F238E27FC236}">
              <a16:creationId xmlns:a16="http://schemas.microsoft.com/office/drawing/2014/main" id="{00000000-0008-0000-3400-000013000000}"/>
            </a:ext>
          </a:extLst>
        </xdr:cNvPr>
        <xdr:cNvGrpSpPr/>
      </xdr:nvGrpSpPr>
      <xdr:grpSpPr>
        <a:xfrm>
          <a:off x="10912849" y="1635499"/>
          <a:ext cx="2181225" cy="6069196"/>
          <a:chOff x="10915650" y="1638300"/>
          <a:chExt cx="2181225" cy="5773361"/>
        </a:xfrm>
      </xdr:grpSpPr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34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63275" y="1644946"/>
            <a:ext cx="2019300" cy="5766715"/>
          </a:xfrm>
          <a:prstGeom prst="rect">
            <a:avLst/>
          </a:prstGeom>
        </xdr:spPr>
      </xdr:pic>
      <xdr:sp macro="" textlink="">
        <xdr:nvSpPr>
          <xdr:cNvPr id="17" name="Rechteck 16">
            <a:extLst>
              <a:ext uri="{FF2B5EF4-FFF2-40B4-BE49-F238E27FC236}">
                <a16:creationId xmlns:a16="http://schemas.microsoft.com/office/drawing/2014/main" id="{00000000-0008-0000-3400-000011000000}"/>
              </a:ext>
            </a:extLst>
          </xdr:cNvPr>
          <xdr:cNvSpPr/>
        </xdr:nvSpPr>
        <xdr:spPr>
          <a:xfrm>
            <a:off x="12639675" y="1638300"/>
            <a:ext cx="4572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8" name="Rechteck 17">
            <a:extLst>
              <a:ext uri="{FF2B5EF4-FFF2-40B4-BE49-F238E27FC236}">
                <a16:creationId xmlns:a16="http://schemas.microsoft.com/office/drawing/2014/main" id="{00000000-0008-0000-3400-000012000000}"/>
              </a:ext>
            </a:extLst>
          </xdr:cNvPr>
          <xdr:cNvSpPr/>
        </xdr:nvSpPr>
        <xdr:spPr>
          <a:xfrm>
            <a:off x="10915650" y="1657350"/>
            <a:ext cx="5715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14</xdr:col>
      <xdr:colOff>705970</xdr:colOff>
      <xdr:row>21</xdr:row>
      <xdr:rowOff>168088</xdr:rowOff>
    </xdr:from>
    <xdr:to>
      <xdr:col>15</xdr:col>
      <xdr:colOff>190500</xdr:colOff>
      <xdr:row>42</xdr:row>
      <xdr:rowOff>44824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3400-000014000000}"/>
            </a:ext>
          </a:extLst>
        </xdr:cNvPr>
        <xdr:cNvGrpSpPr/>
      </xdr:nvGrpSpPr>
      <xdr:grpSpPr>
        <a:xfrm>
          <a:off x="10847294" y="3653117"/>
          <a:ext cx="246530" cy="3585883"/>
          <a:chOff x="11473962" y="3498605"/>
          <a:chExt cx="234462" cy="3102220"/>
        </a:xfrm>
      </xdr:grpSpPr>
      <xdr:cxnSp macro="">
        <xdr:nvCxnSpPr>
          <xdr:cNvPr id="21" name="Gerade Verbindung mit Pfeil 20">
            <a:extLst>
              <a:ext uri="{FF2B5EF4-FFF2-40B4-BE49-F238E27FC236}">
                <a16:creationId xmlns:a16="http://schemas.microsoft.com/office/drawing/2014/main" id="{00000000-0008-0000-3400-000015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2" name="Textfeld 21">
            <a:extLst>
              <a:ext uri="{FF2B5EF4-FFF2-40B4-BE49-F238E27FC236}">
                <a16:creationId xmlns:a16="http://schemas.microsoft.com/office/drawing/2014/main" id="{00000000-0008-0000-3400-000016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3" name="Rechteck 22">
            <a:extLst>
              <a:ext uri="{FF2B5EF4-FFF2-40B4-BE49-F238E27FC236}">
                <a16:creationId xmlns:a16="http://schemas.microsoft.com/office/drawing/2014/main" id="{00000000-0008-0000-3400-000017000000}"/>
              </a:ext>
            </a:extLst>
          </xdr:cNvPr>
          <xdr:cNvSpPr/>
        </xdr:nvSpPr>
        <xdr:spPr>
          <a:xfrm>
            <a:off x="11503270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0</xdr:col>
      <xdr:colOff>211232</xdr:colOff>
      <xdr:row>7</xdr:row>
      <xdr:rowOff>34738</xdr:rowOff>
    </xdr:from>
    <xdr:to>
      <xdr:col>2</xdr:col>
      <xdr:colOff>36186</xdr:colOff>
      <xdr:row>21</xdr:row>
      <xdr:rowOff>67234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232" y="1311088"/>
          <a:ext cx="1901404" cy="2585196"/>
        </a:xfrm>
        <a:prstGeom prst="rect">
          <a:avLst/>
        </a:prstGeom>
      </xdr:spPr>
    </xdr:pic>
    <xdr:clientData/>
  </xdr:twoCellAnchor>
  <xdr:twoCellAnchor editAs="oneCell">
    <xdr:from>
      <xdr:col>8</xdr:col>
      <xdr:colOff>257736</xdr:colOff>
      <xdr:row>35</xdr:row>
      <xdr:rowOff>33618</xdr:rowOff>
    </xdr:from>
    <xdr:to>
      <xdr:col>25</xdr:col>
      <xdr:colOff>67237</xdr:colOff>
      <xdr:row>45</xdr:row>
      <xdr:rowOff>148588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2454"/>
        <a:stretch/>
      </xdr:blipFill>
      <xdr:spPr>
        <a:xfrm>
          <a:off x="7126942" y="6533030"/>
          <a:ext cx="9883589" cy="2019970"/>
        </a:xfrm>
        <a:prstGeom prst="rect">
          <a:avLst/>
        </a:prstGeom>
      </xdr:spPr>
    </xdr:pic>
    <xdr:clientData/>
  </xdr:twoCellAnchor>
  <xdr:twoCellAnchor editAs="oneCell">
    <xdr:from>
      <xdr:col>9</xdr:col>
      <xdr:colOff>40342</xdr:colOff>
      <xdr:row>4</xdr:row>
      <xdr:rowOff>89646</xdr:rowOff>
    </xdr:from>
    <xdr:to>
      <xdr:col>24</xdr:col>
      <xdr:colOff>48364</xdr:colOff>
      <xdr:row>23</xdr:row>
      <xdr:rowOff>67235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52209"/>
        <a:stretch/>
      </xdr:blipFill>
      <xdr:spPr>
        <a:xfrm>
          <a:off x="7212107" y="896470"/>
          <a:ext cx="9544228" cy="3384177"/>
        </a:xfrm>
        <a:prstGeom prst="rect">
          <a:avLst/>
        </a:prstGeom>
      </xdr:spPr>
    </xdr:pic>
    <xdr:clientData/>
  </xdr:twoCellAnchor>
  <xdr:twoCellAnchor editAs="oneCell">
    <xdr:from>
      <xdr:col>8</xdr:col>
      <xdr:colOff>275665</xdr:colOff>
      <xdr:row>25</xdr:row>
      <xdr:rowOff>145676</xdr:rowOff>
    </xdr:from>
    <xdr:to>
      <xdr:col>24</xdr:col>
      <xdr:colOff>190500</xdr:colOff>
      <xdr:row>35</xdr:row>
      <xdr:rowOff>50073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7933" b="27063"/>
        <a:stretch/>
      </xdr:blipFill>
      <xdr:spPr>
        <a:xfrm>
          <a:off x="7144871" y="4740088"/>
          <a:ext cx="9753600" cy="1809397"/>
        </a:xfrm>
        <a:prstGeom prst="rect">
          <a:avLst/>
        </a:prstGeom>
      </xdr:spPr>
    </xdr:pic>
    <xdr:clientData/>
  </xdr:twoCellAnchor>
  <xdr:twoCellAnchor editAs="oneCell">
    <xdr:from>
      <xdr:col>1</xdr:col>
      <xdr:colOff>1703294</xdr:colOff>
      <xdr:row>49</xdr:row>
      <xdr:rowOff>177458</xdr:rowOff>
    </xdr:from>
    <xdr:to>
      <xdr:col>4</xdr:col>
      <xdr:colOff>470647</xdr:colOff>
      <xdr:row>60</xdr:row>
      <xdr:rowOff>24383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12844" y="9226208"/>
          <a:ext cx="2291603" cy="1942425"/>
        </a:xfrm>
        <a:prstGeom prst="rect">
          <a:avLst/>
        </a:prstGeom>
      </xdr:spPr>
    </xdr:pic>
    <xdr:clientData/>
  </xdr:twoCellAnchor>
  <xdr:twoCellAnchor>
    <xdr:from>
      <xdr:col>2</xdr:col>
      <xdr:colOff>112059</xdr:colOff>
      <xdr:row>4</xdr:row>
      <xdr:rowOff>123263</xdr:rowOff>
    </xdr:from>
    <xdr:to>
      <xdr:col>5</xdr:col>
      <xdr:colOff>784411</xdr:colOff>
      <xdr:row>45</xdr:row>
      <xdr:rowOff>145674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GrpSpPr/>
      </xdr:nvGrpSpPr>
      <xdr:grpSpPr>
        <a:xfrm>
          <a:off x="2180345" y="939692"/>
          <a:ext cx="3094423" cy="7628803"/>
          <a:chOff x="10915650" y="1638300"/>
          <a:chExt cx="2181225" cy="5773361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35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63275" y="1644946"/>
            <a:ext cx="2019300" cy="5766715"/>
          </a:xfrm>
          <a:prstGeom prst="rect">
            <a:avLst/>
          </a:prstGeom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3500-000010000000}"/>
              </a:ext>
            </a:extLst>
          </xdr:cNvPr>
          <xdr:cNvSpPr/>
        </xdr:nvSpPr>
        <xdr:spPr>
          <a:xfrm>
            <a:off x="12639675" y="1638300"/>
            <a:ext cx="4572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Rechteck 16">
            <a:extLst>
              <a:ext uri="{FF2B5EF4-FFF2-40B4-BE49-F238E27FC236}">
                <a16:creationId xmlns:a16="http://schemas.microsoft.com/office/drawing/2014/main" id="{00000000-0008-0000-3500-000011000000}"/>
              </a:ext>
            </a:extLst>
          </xdr:cNvPr>
          <xdr:cNvSpPr/>
        </xdr:nvSpPr>
        <xdr:spPr>
          <a:xfrm>
            <a:off x="10915650" y="1657350"/>
            <a:ext cx="5715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6</xdr:col>
      <xdr:colOff>734786</xdr:colOff>
      <xdr:row>51</xdr:row>
      <xdr:rowOff>163286</xdr:rowOff>
    </xdr:from>
    <xdr:to>
      <xdr:col>17</xdr:col>
      <xdr:colOff>299357</xdr:colOff>
      <xdr:row>60</xdr:row>
      <xdr:rowOff>136072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68786" y="9620250"/>
          <a:ext cx="6014357" cy="1687286"/>
        </a:xfrm>
        <a:prstGeom prst="rect">
          <a:avLst/>
        </a:prstGeom>
      </xdr:spPr>
    </xdr:pic>
    <xdr:clientData/>
  </xdr:twoCellAnchor>
  <xdr:twoCellAnchor editAs="oneCell">
    <xdr:from>
      <xdr:col>17</xdr:col>
      <xdr:colOff>802821</xdr:colOff>
      <xdr:row>51</xdr:row>
      <xdr:rowOff>40821</xdr:rowOff>
    </xdr:from>
    <xdr:to>
      <xdr:col>21</xdr:col>
      <xdr:colOff>281668</xdr:colOff>
      <xdr:row>65</xdr:row>
      <xdr:rowOff>95703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586607" y="9497785"/>
          <a:ext cx="2581275" cy="261302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239204</xdr:colOff>
      <xdr:row>22</xdr:row>
      <xdr:rowOff>168089</xdr:rowOff>
    </xdr:from>
    <xdr:to>
      <xdr:col>14</xdr:col>
      <xdr:colOff>154081</xdr:colOff>
      <xdr:row>34</xdr:row>
      <xdr:rowOff>22413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3600-00001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7998" y="3731560"/>
          <a:ext cx="2447407" cy="2106706"/>
        </a:xfrm>
        <a:prstGeom prst="rect">
          <a:avLst/>
        </a:prstGeom>
      </xdr:spPr>
    </xdr:pic>
    <xdr:clientData/>
  </xdr:twoCellAnchor>
  <xdr:twoCellAnchor editAs="oneCell">
    <xdr:from>
      <xdr:col>9</xdr:col>
      <xdr:colOff>86249</xdr:colOff>
      <xdr:row>8</xdr:row>
      <xdr:rowOff>127700</xdr:rowOff>
    </xdr:from>
    <xdr:to>
      <xdr:col>14</xdr:col>
      <xdr:colOff>653143</xdr:colOff>
      <xdr:row>18</xdr:row>
      <xdr:rowOff>122463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3600-00001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r="26857"/>
        <a:stretch/>
      </xdr:blipFill>
      <xdr:spPr>
        <a:xfrm>
          <a:off x="6930642" y="1706129"/>
          <a:ext cx="3859822" cy="1355477"/>
        </a:xfrm>
        <a:prstGeom prst="rect">
          <a:avLst/>
        </a:prstGeom>
      </xdr:spPr>
    </xdr:pic>
    <xdr:clientData/>
  </xdr:twoCellAnchor>
  <xdr:twoCellAnchor>
    <xdr:from>
      <xdr:col>14</xdr:col>
      <xdr:colOff>666750</xdr:colOff>
      <xdr:row>8</xdr:row>
      <xdr:rowOff>76200</xdr:rowOff>
    </xdr:from>
    <xdr:to>
      <xdr:col>17</xdr:col>
      <xdr:colOff>676275</xdr:colOff>
      <xdr:row>48</xdr:row>
      <xdr:rowOff>8470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00000000-0008-0000-3600-000011000000}"/>
            </a:ext>
          </a:extLst>
        </xdr:cNvPr>
        <xdr:cNvGrpSpPr/>
      </xdr:nvGrpSpPr>
      <xdr:grpSpPr>
        <a:xfrm>
          <a:off x="10808074" y="1645024"/>
          <a:ext cx="2295525" cy="6375652"/>
          <a:chOff x="10915650" y="1638300"/>
          <a:chExt cx="2181225" cy="5773361"/>
        </a:xfrm>
      </xdr:grpSpPr>
      <xdr:pic>
        <xdr:nvPicPr>
          <xdr:cNvPr id="18" name="Grafik 17">
            <a:extLst>
              <a:ext uri="{FF2B5EF4-FFF2-40B4-BE49-F238E27FC236}">
                <a16:creationId xmlns:a16="http://schemas.microsoft.com/office/drawing/2014/main" id="{00000000-0008-0000-36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63275" y="1644946"/>
            <a:ext cx="2019300" cy="5766715"/>
          </a:xfrm>
          <a:prstGeom prst="rect">
            <a:avLst/>
          </a:prstGeom>
        </xdr:spPr>
      </xdr:pic>
      <xdr:sp macro="" textlink="">
        <xdr:nvSpPr>
          <xdr:cNvPr id="19" name="Rechteck 18">
            <a:extLst>
              <a:ext uri="{FF2B5EF4-FFF2-40B4-BE49-F238E27FC236}">
                <a16:creationId xmlns:a16="http://schemas.microsoft.com/office/drawing/2014/main" id="{00000000-0008-0000-3600-000013000000}"/>
              </a:ext>
            </a:extLst>
          </xdr:cNvPr>
          <xdr:cNvSpPr/>
        </xdr:nvSpPr>
        <xdr:spPr>
          <a:xfrm>
            <a:off x="12639675" y="1638300"/>
            <a:ext cx="4572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20" name="Rechteck 19">
            <a:extLst>
              <a:ext uri="{FF2B5EF4-FFF2-40B4-BE49-F238E27FC236}">
                <a16:creationId xmlns:a16="http://schemas.microsoft.com/office/drawing/2014/main" id="{00000000-0008-0000-3600-000014000000}"/>
              </a:ext>
            </a:extLst>
          </xdr:cNvPr>
          <xdr:cNvSpPr/>
        </xdr:nvSpPr>
        <xdr:spPr>
          <a:xfrm>
            <a:off x="10915650" y="1657350"/>
            <a:ext cx="5715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11</xdr:col>
      <xdr:colOff>249538</xdr:colOff>
      <xdr:row>8</xdr:row>
      <xdr:rowOff>86880</xdr:rowOff>
    </xdr:from>
    <xdr:to>
      <xdr:col>14</xdr:col>
      <xdr:colOff>123268</xdr:colOff>
      <xdr:row>27</xdr:row>
      <xdr:rowOff>44824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104862" y="1655704"/>
          <a:ext cx="2159730" cy="2983532"/>
          <a:chOff x="8105775" y="1657350"/>
          <a:chExt cx="2161398" cy="2429161"/>
        </a:xfrm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105775" y="165735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CxnSpPr/>
        </xdr:nvCxnSpPr>
        <xdr:spPr>
          <a:xfrm flipH="1" flipV="1">
            <a:off x="9286875" y="2362201"/>
            <a:ext cx="486858" cy="89852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3600-000007000000}"/>
              </a:ext>
            </a:extLst>
          </xdr:cNvPr>
          <xdr:cNvSpPr/>
        </xdr:nvSpPr>
        <xdr:spPr>
          <a:xfrm>
            <a:off x="8990656" y="3360720"/>
            <a:ext cx="491499" cy="20573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3600-000008000000}"/>
              </a:ext>
            </a:extLst>
          </xdr:cNvPr>
          <xdr:cNvSpPr/>
        </xdr:nvSpPr>
        <xdr:spPr>
          <a:xfrm>
            <a:off x="9936264" y="3302366"/>
            <a:ext cx="330909" cy="78414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Rechteck 8">
            <a:extLst>
              <a:ext uri="{FF2B5EF4-FFF2-40B4-BE49-F238E27FC236}">
                <a16:creationId xmlns:a16="http://schemas.microsoft.com/office/drawing/2014/main" id="{00000000-0008-0000-3600-000009000000}"/>
              </a:ext>
            </a:extLst>
          </xdr:cNvPr>
          <xdr:cNvSpPr/>
        </xdr:nvSpPr>
        <xdr:spPr>
          <a:xfrm>
            <a:off x="9579179" y="2449531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9525</xdr:colOff>
      <xdr:row>2</xdr:row>
      <xdr:rowOff>28575</xdr:rowOff>
    </xdr:from>
    <xdr:to>
      <xdr:col>3</xdr:col>
      <xdr:colOff>390525</xdr:colOff>
      <xdr:row>4</xdr:row>
      <xdr:rowOff>178043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GrpSpPr/>
      </xdr:nvGrpSpPr>
      <xdr:grpSpPr>
        <a:xfrm>
          <a:off x="771525" y="409575"/>
          <a:ext cx="2308412" cy="530468"/>
          <a:chOff x="781050" y="409575"/>
          <a:chExt cx="2305050" cy="53046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36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36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638744</xdr:colOff>
      <xdr:row>23</xdr:row>
      <xdr:rowOff>33617</xdr:rowOff>
    </xdr:from>
    <xdr:to>
      <xdr:col>15</xdr:col>
      <xdr:colOff>156890</xdr:colOff>
      <xdr:row>44</xdr:row>
      <xdr:rowOff>-1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00000000-0008-0000-3600-000018000000}"/>
            </a:ext>
          </a:extLst>
        </xdr:cNvPr>
        <xdr:cNvGrpSpPr/>
      </xdr:nvGrpSpPr>
      <xdr:grpSpPr>
        <a:xfrm>
          <a:off x="10780068" y="3787588"/>
          <a:ext cx="280146" cy="3686735"/>
          <a:chOff x="11473962" y="3498605"/>
          <a:chExt cx="234461" cy="3102220"/>
        </a:xfrm>
      </xdr:grpSpPr>
      <xdr:cxnSp macro="">
        <xdr:nvCxnSpPr>
          <xdr:cNvPr id="25" name="Gerade Verbindung mit Pfeil 24">
            <a:extLst>
              <a:ext uri="{FF2B5EF4-FFF2-40B4-BE49-F238E27FC236}">
                <a16:creationId xmlns:a16="http://schemas.microsoft.com/office/drawing/2014/main" id="{00000000-0008-0000-3600-000019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6" name="Textfeld 25">
            <a:extLst>
              <a:ext uri="{FF2B5EF4-FFF2-40B4-BE49-F238E27FC236}">
                <a16:creationId xmlns:a16="http://schemas.microsoft.com/office/drawing/2014/main" id="{00000000-0008-0000-3600-00001A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7" name="Rechteck 26">
            <a:extLst>
              <a:ext uri="{FF2B5EF4-FFF2-40B4-BE49-F238E27FC236}">
                <a16:creationId xmlns:a16="http://schemas.microsoft.com/office/drawing/2014/main" id="{00000000-0008-0000-3600-00001B000000}"/>
              </a:ext>
            </a:extLst>
          </xdr:cNvPr>
          <xdr:cNvSpPr/>
        </xdr:nvSpPr>
        <xdr:spPr>
          <a:xfrm>
            <a:off x="11475135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22411</xdr:colOff>
      <xdr:row>34</xdr:row>
      <xdr:rowOff>134471</xdr:rowOff>
    </xdr:from>
    <xdr:to>
      <xdr:col>22</xdr:col>
      <xdr:colOff>694764</xdr:colOff>
      <xdr:row>44</xdr:row>
      <xdr:rowOff>105131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49" t="72167"/>
        <a:stretch/>
      </xdr:blipFill>
      <xdr:spPr>
        <a:xfrm>
          <a:off x="7394761" y="6440021"/>
          <a:ext cx="9149603" cy="1875660"/>
        </a:xfrm>
        <a:prstGeom prst="rect">
          <a:avLst/>
        </a:prstGeom>
      </xdr:spPr>
    </xdr:pic>
    <xdr:clientData/>
  </xdr:twoCellAnchor>
  <xdr:twoCellAnchor editAs="oneCell">
    <xdr:from>
      <xdr:col>9</xdr:col>
      <xdr:colOff>6724</xdr:colOff>
      <xdr:row>4</xdr:row>
      <xdr:rowOff>163607</xdr:rowOff>
    </xdr:from>
    <xdr:to>
      <xdr:col>22</xdr:col>
      <xdr:colOff>679077</xdr:colOff>
      <xdr:row>23</xdr:row>
      <xdr:rowOff>11206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49" b="51711"/>
        <a:stretch/>
      </xdr:blipFill>
      <xdr:spPr>
        <a:xfrm>
          <a:off x="7379074" y="973232"/>
          <a:ext cx="9149603" cy="3248024"/>
        </a:xfrm>
        <a:prstGeom prst="rect">
          <a:avLst/>
        </a:prstGeom>
      </xdr:spPr>
    </xdr:pic>
    <xdr:clientData/>
  </xdr:twoCellAnchor>
  <xdr:twoCellAnchor editAs="oneCell">
    <xdr:from>
      <xdr:col>9</xdr:col>
      <xdr:colOff>17928</xdr:colOff>
      <xdr:row>25</xdr:row>
      <xdr:rowOff>78441</xdr:rowOff>
    </xdr:from>
    <xdr:to>
      <xdr:col>22</xdr:col>
      <xdr:colOff>690281</xdr:colOff>
      <xdr:row>34</xdr:row>
      <xdr:rowOff>33617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49" t="47790" b="27434"/>
        <a:stretch/>
      </xdr:blipFill>
      <xdr:spPr>
        <a:xfrm>
          <a:off x="7390278" y="4669491"/>
          <a:ext cx="9149603" cy="1669676"/>
        </a:xfrm>
        <a:prstGeom prst="rect">
          <a:avLst/>
        </a:prstGeom>
      </xdr:spPr>
    </xdr:pic>
    <xdr:clientData/>
  </xdr:twoCellAnchor>
  <xdr:twoCellAnchor editAs="oneCell">
    <xdr:from>
      <xdr:col>1</xdr:col>
      <xdr:colOff>1692088</xdr:colOff>
      <xdr:row>49</xdr:row>
      <xdr:rowOff>112058</xdr:rowOff>
    </xdr:from>
    <xdr:to>
      <xdr:col>4</xdr:col>
      <xdr:colOff>459441</xdr:colOff>
      <xdr:row>59</xdr:row>
      <xdr:rowOff>149483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1638" y="9160808"/>
          <a:ext cx="2291603" cy="1942425"/>
        </a:xfrm>
        <a:prstGeom prst="rect">
          <a:avLst/>
        </a:prstGeom>
      </xdr:spPr>
    </xdr:pic>
    <xdr:clientData/>
  </xdr:twoCellAnchor>
  <xdr:twoCellAnchor>
    <xdr:from>
      <xdr:col>8</xdr:col>
      <xdr:colOff>42022</xdr:colOff>
      <xdr:row>15</xdr:row>
      <xdr:rowOff>67236</xdr:rowOff>
    </xdr:from>
    <xdr:to>
      <xdr:col>9</xdr:col>
      <xdr:colOff>149039</xdr:colOff>
      <xdr:row>17</xdr:row>
      <xdr:rowOff>186541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124140" y="2756648"/>
          <a:ext cx="409575" cy="5003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1826559</xdr:colOff>
      <xdr:row>2</xdr:row>
      <xdr:rowOff>100853</xdr:rowOff>
    </xdr:from>
    <xdr:to>
      <xdr:col>5</xdr:col>
      <xdr:colOff>494047</xdr:colOff>
      <xdr:row>44</xdr:row>
      <xdr:rowOff>145676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GrpSpPr/>
      </xdr:nvGrpSpPr>
      <xdr:grpSpPr>
        <a:xfrm>
          <a:off x="2030666" y="536282"/>
          <a:ext cx="2953738" cy="7841715"/>
          <a:chOff x="10915650" y="1638300"/>
          <a:chExt cx="2181225" cy="5773361"/>
        </a:xfrm>
      </xdr:grpSpPr>
      <xdr:pic>
        <xdr:nvPicPr>
          <xdr:cNvPr id="17" name="Grafik 16">
            <a:extLst>
              <a:ext uri="{FF2B5EF4-FFF2-40B4-BE49-F238E27FC236}">
                <a16:creationId xmlns:a16="http://schemas.microsoft.com/office/drawing/2014/main" id="{00000000-0008-0000-37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63275" y="1644946"/>
            <a:ext cx="2019300" cy="5766715"/>
          </a:xfrm>
          <a:prstGeom prst="rect">
            <a:avLst/>
          </a:prstGeom>
        </xdr:spPr>
      </xdr:pic>
      <xdr:sp macro="" textlink="">
        <xdr:nvSpPr>
          <xdr:cNvPr id="18" name="Rechteck 17">
            <a:extLst>
              <a:ext uri="{FF2B5EF4-FFF2-40B4-BE49-F238E27FC236}">
                <a16:creationId xmlns:a16="http://schemas.microsoft.com/office/drawing/2014/main" id="{00000000-0008-0000-3700-000012000000}"/>
              </a:ext>
            </a:extLst>
          </xdr:cNvPr>
          <xdr:cNvSpPr/>
        </xdr:nvSpPr>
        <xdr:spPr>
          <a:xfrm>
            <a:off x="12639675" y="1638300"/>
            <a:ext cx="4572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9" name="Rechteck 18">
            <a:extLst>
              <a:ext uri="{FF2B5EF4-FFF2-40B4-BE49-F238E27FC236}">
                <a16:creationId xmlns:a16="http://schemas.microsoft.com/office/drawing/2014/main" id="{00000000-0008-0000-3700-000013000000}"/>
              </a:ext>
            </a:extLst>
          </xdr:cNvPr>
          <xdr:cNvSpPr/>
        </xdr:nvSpPr>
        <xdr:spPr>
          <a:xfrm>
            <a:off x="10915650" y="1657350"/>
            <a:ext cx="5715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7</xdr:col>
      <xdr:colOff>326572</xdr:colOff>
      <xdr:row>52</xdr:row>
      <xdr:rowOff>0</xdr:rowOff>
    </xdr:from>
    <xdr:to>
      <xdr:col>17</xdr:col>
      <xdr:colOff>399506</xdr:colOff>
      <xdr:row>59</xdr:row>
      <xdr:rowOff>147320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3700-000014000000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26679" y="9647464"/>
          <a:ext cx="5760720" cy="1480820"/>
        </a:xfrm>
        <a:prstGeom prst="rect">
          <a:avLst/>
        </a:prstGeom>
      </xdr:spPr>
    </xdr:pic>
    <xdr:clientData/>
  </xdr:twoCellAnchor>
  <xdr:twoCellAnchor editAs="oneCell">
    <xdr:from>
      <xdr:col>18</xdr:col>
      <xdr:colOff>40822</xdr:colOff>
      <xdr:row>52</xdr:row>
      <xdr:rowOff>0</xdr:rowOff>
    </xdr:from>
    <xdr:to>
      <xdr:col>21</xdr:col>
      <xdr:colOff>381000</xdr:colOff>
      <xdr:row>63</xdr:row>
      <xdr:rowOff>81643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3700-000015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45143" y="9647464"/>
          <a:ext cx="2626178" cy="2068286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56029</xdr:colOff>
      <xdr:row>23</xdr:row>
      <xdr:rowOff>22412</xdr:rowOff>
    </xdr:from>
    <xdr:to>
      <xdr:col>13</xdr:col>
      <xdr:colOff>313764</xdr:colOff>
      <xdr:row>34</xdr:row>
      <xdr:rowOff>44925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3800-00001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b="945"/>
        <a:stretch/>
      </xdr:blipFill>
      <xdr:spPr bwMode="auto">
        <a:xfrm>
          <a:off x="7664823" y="3888441"/>
          <a:ext cx="2028265" cy="19723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47625</xdr:colOff>
      <xdr:row>2</xdr:row>
      <xdr:rowOff>38100</xdr:rowOff>
    </xdr:from>
    <xdr:to>
      <xdr:col>3</xdr:col>
      <xdr:colOff>428625</xdr:colOff>
      <xdr:row>4</xdr:row>
      <xdr:rowOff>187568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GrpSpPr/>
      </xdr:nvGrpSpPr>
      <xdr:grpSpPr>
        <a:xfrm>
          <a:off x="809625" y="419100"/>
          <a:ext cx="2308412" cy="530468"/>
          <a:chOff x="781050" y="409575"/>
          <a:chExt cx="2305050" cy="530468"/>
        </a:xfrm>
      </xdr:grpSpPr>
      <xdr:pic>
        <xdr:nvPicPr>
          <xdr:cNvPr id="9" name="Grafik 8">
            <a:extLst>
              <a:ext uri="{FF2B5EF4-FFF2-40B4-BE49-F238E27FC236}">
                <a16:creationId xmlns:a16="http://schemas.microsoft.com/office/drawing/2014/main" id="{00000000-0008-0000-38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38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114300</xdr:colOff>
      <xdr:row>9</xdr:row>
      <xdr:rowOff>66675</xdr:rowOff>
    </xdr:from>
    <xdr:to>
      <xdr:col>14</xdr:col>
      <xdr:colOff>409574</xdr:colOff>
      <xdr:row>19</xdr:row>
      <xdr:rowOff>67906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3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62775" y="1828800"/>
          <a:ext cx="3590924" cy="1336972"/>
        </a:xfrm>
        <a:prstGeom prst="rect">
          <a:avLst/>
        </a:prstGeom>
      </xdr:spPr>
    </xdr:pic>
    <xdr:clientData/>
  </xdr:twoCellAnchor>
  <xdr:twoCellAnchor>
    <xdr:from>
      <xdr:col>12</xdr:col>
      <xdr:colOff>180145</xdr:colOff>
      <xdr:row>10</xdr:row>
      <xdr:rowOff>78683</xdr:rowOff>
    </xdr:from>
    <xdr:to>
      <xdr:col>12</xdr:col>
      <xdr:colOff>704020</xdr:colOff>
      <xdr:row>14</xdr:row>
      <xdr:rowOff>44665</xdr:rowOff>
    </xdr:to>
    <xdr:sp macro="" textlink="">
      <xdr:nvSpPr>
        <xdr:cNvPr id="17" name="Rechteck 16">
          <a:extLst>
            <a:ext uri="{FF2B5EF4-FFF2-40B4-BE49-F238E27FC236}">
              <a16:creationId xmlns:a16="http://schemas.microsoft.com/office/drawing/2014/main" id="{00000000-0008-0000-3800-000011000000}"/>
            </a:ext>
          </a:extLst>
        </xdr:cNvPr>
        <xdr:cNvSpPr/>
      </xdr:nvSpPr>
      <xdr:spPr>
        <a:xfrm>
          <a:off x="8800270" y="1917008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351911</xdr:colOff>
      <xdr:row>22</xdr:row>
      <xdr:rowOff>188259</xdr:rowOff>
    </xdr:from>
    <xdr:to>
      <xdr:col>12</xdr:col>
      <xdr:colOff>751961</xdr:colOff>
      <xdr:row>24</xdr:row>
      <xdr:rowOff>62192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3800-000013000000}"/>
            </a:ext>
          </a:extLst>
        </xdr:cNvPr>
        <xdr:cNvSpPr/>
      </xdr:nvSpPr>
      <xdr:spPr>
        <a:xfrm flipV="1">
          <a:off x="8969235" y="3863788"/>
          <a:ext cx="400050" cy="1428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13</xdr:col>
      <xdr:colOff>23288</xdr:colOff>
      <xdr:row>22</xdr:row>
      <xdr:rowOff>177053</xdr:rowOff>
    </xdr:from>
    <xdr:to>
      <xdr:col>13</xdr:col>
      <xdr:colOff>336176</xdr:colOff>
      <xdr:row>27</xdr:row>
      <xdr:rowOff>134470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00000000-0008-0000-3800-000014000000}"/>
            </a:ext>
          </a:extLst>
        </xdr:cNvPr>
        <xdr:cNvSpPr/>
      </xdr:nvSpPr>
      <xdr:spPr>
        <a:xfrm>
          <a:off x="9402612" y="3852582"/>
          <a:ext cx="312888" cy="685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114300</xdr:colOff>
      <xdr:row>16</xdr:row>
      <xdr:rowOff>38100</xdr:rowOff>
    </xdr:from>
    <xdr:to>
      <xdr:col>12</xdr:col>
      <xdr:colOff>152400</xdr:colOff>
      <xdr:row>22</xdr:row>
      <xdr:rowOff>152400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CxnSpPr/>
      </xdr:nvCxnSpPr>
      <xdr:spPr>
        <a:xfrm flipH="1" flipV="1">
          <a:off x="7972425" y="2409825"/>
          <a:ext cx="800100" cy="1143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628650</xdr:colOff>
      <xdr:row>8</xdr:row>
      <xdr:rowOff>38100</xdr:rowOff>
    </xdr:from>
    <xdr:to>
      <xdr:col>17</xdr:col>
      <xdr:colOff>638175</xdr:colOff>
      <xdr:row>47</xdr:row>
      <xdr:rowOff>160870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00000000-0008-0000-3800-000015000000}"/>
            </a:ext>
          </a:extLst>
        </xdr:cNvPr>
        <xdr:cNvGrpSpPr/>
      </xdr:nvGrpSpPr>
      <xdr:grpSpPr>
        <a:xfrm>
          <a:off x="10769974" y="1606924"/>
          <a:ext cx="2295525" cy="6173946"/>
          <a:chOff x="10915650" y="1638300"/>
          <a:chExt cx="2181225" cy="5773361"/>
        </a:xfrm>
      </xdr:grpSpPr>
      <xdr:pic>
        <xdr:nvPicPr>
          <xdr:cNvPr id="22" name="Grafik 21">
            <a:extLst>
              <a:ext uri="{FF2B5EF4-FFF2-40B4-BE49-F238E27FC236}">
                <a16:creationId xmlns:a16="http://schemas.microsoft.com/office/drawing/2014/main" id="{00000000-0008-0000-38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63275" y="1644946"/>
            <a:ext cx="2019300" cy="5766715"/>
          </a:xfrm>
          <a:prstGeom prst="rect">
            <a:avLst/>
          </a:prstGeom>
        </xdr:spPr>
      </xdr:pic>
      <xdr:sp macro="" textlink="">
        <xdr:nvSpPr>
          <xdr:cNvPr id="23" name="Rechteck 22">
            <a:extLst>
              <a:ext uri="{FF2B5EF4-FFF2-40B4-BE49-F238E27FC236}">
                <a16:creationId xmlns:a16="http://schemas.microsoft.com/office/drawing/2014/main" id="{00000000-0008-0000-3800-000017000000}"/>
              </a:ext>
            </a:extLst>
          </xdr:cNvPr>
          <xdr:cNvSpPr/>
        </xdr:nvSpPr>
        <xdr:spPr>
          <a:xfrm>
            <a:off x="12639675" y="1638300"/>
            <a:ext cx="4572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24" name="Rechteck 23">
            <a:extLst>
              <a:ext uri="{FF2B5EF4-FFF2-40B4-BE49-F238E27FC236}">
                <a16:creationId xmlns:a16="http://schemas.microsoft.com/office/drawing/2014/main" id="{00000000-0008-0000-3800-000018000000}"/>
              </a:ext>
            </a:extLst>
          </xdr:cNvPr>
          <xdr:cNvSpPr/>
        </xdr:nvSpPr>
        <xdr:spPr>
          <a:xfrm>
            <a:off x="10915650" y="1657350"/>
            <a:ext cx="5715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14</xdr:col>
      <xdr:colOff>526676</xdr:colOff>
      <xdr:row>21</xdr:row>
      <xdr:rowOff>123266</xdr:rowOff>
    </xdr:from>
    <xdr:to>
      <xdr:col>15</xdr:col>
      <xdr:colOff>44822</xdr:colOff>
      <xdr:row>44</xdr:row>
      <xdr:rowOff>22412</xdr:rowOff>
    </xdr:to>
    <xdr:grpSp>
      <xdr:nvGrpSpPr>
        <xdr:cNvPr id="27" name="Gruppieren 26">
          <a:extLst>
            <a:ext uri="{FF2B5EF4-FFF2-40B4-BE49-F238E27FC236}">
              <a16:creationId xmlns:a16="http://schemas.microsoft.com/office/drawing/2014/main" id="{00000000-0008-0000-3800-00001B000000}"/>
            </a:ext>
          </a:extLst>
        </xdr:cNvPr>
        <xdr:cNvGrpSpPr/>
      </xdr:nvGrpSpPr>
      <xdr:grpSpPr>
        <a:xfrm>
          <a:off x="10668000" y="3608295"/>
          <a:ext cx="280146" cy="3686735"/>
          <a:chOff x="11473962" y="3498605"/>
          <a:chExt cx="234461" cy="3102220"/>
        </a:xfrm>
      </xdr:grpSpPr>
      <xdr:cxnSp macro="">
        <xdr:nvCxnSpPr>
          <xdr:cNvPr id="28" name="Gerade Verbindung mit Pfeil 27">
            <a:extLst>
              <a:ext uri="{FF2B5EF4-FFF2-40B4-BE49-F238E27FC236}">
                <a16:creationId xmlns:a16="http://schemas.microsoft.com/office/drawing/2014/main" id="{00000000-0008-0000-3800-00001C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9" name="Textfeld 28">
            <a:extLst>
              <a:ext uri="{FF2B5EF4-FFF2-40B4-BE49-F238E27FC236}">
                <a16:creationId xmlns:a16="http://schemas.microsoft.com/office/drawing/2014/main" id="{00000000-0008-0000-3800-00001D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30" name="Rechteck 29">
            <a:extLst>
              <a:ext uri="{FF2B5EF4-FFF2-40B4-BE49-F238E27FC236}">
                <a16:creationId xmlns:a16="http://schemas.microsoft.com/office/drawing/2014/main" id="{00000000-0008-0000-3800-00001E000000}"/>
              </a:ext>
            </a:extLst>
          </xdr:cNvPr>
          <xdr:cNvSpPr/>
        </xdr:nvSpPr>
        <xdr:spPr>
          <a:xfrm>
            <a:off x="11475135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2</xdr:col>
      <xdr:colOff>515471</xdr:colOff>
      <xdr:row>49</xdr:row>
      <xdr:rowOff>168088</xdr:rowOff>
    </xdr:from>
    <xdr:to>
      <xdr:col>5</xdr:col>
      <xdr:colOff>392206</xdr:colOff>
      <xdr:row>60</xdr:row>
      <xdr:rowOff>15013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1921" y="9216838"/>
          <a:ext cx="2296085" cy="1942425"/>
        </a:xfrm>
        <a:prstGeom prst="rect">
          <a:avLst/>
        </a:prstGeom>
      </xdr:spPr>
    </xdr:pic>
    <xdr:clientData/>
  </xdr:twoCellAnchor>
  <xdr:twoCellAnchor>
    <xdr:from>
      <xdr:col>2</xdr:col>
      <xdr:colOff>89647</xdr:colOff>
      <xdr:row>2</xdr:row>
      <xdr:rowOff>0</xdr:rowOff>
    </xdr:from>
    <xdr:to>
      <xdr:col>5</xdr:col>
      <xdr:colOff>628517</xdr:colOff>
      <xdr:row>44</xdr:row>
      <xdr:rowOff>44823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3900-00000D000000}"/>
            </a:ext>
          </a:extLst>
        </xdr:cNvPr>
        <xdr:cNvGrpSpPr/>
      </xdr:nvGrpSpPr>
      <xdr:grpSpPr>
        <a:xfrm>
          <a:off x="2157933" y="435429"/>
          <a:ext cx="2960941" cy="7841715"/>
          <a:chOff x="10915650" y="1638300"/>
          <a:chExt cx="2181225" cy="5773361"/>
        </a:xfrm>
      </xdr:grpSpPr>
      <xdr:pic>
        <xdr:nvPicPr>
          <xdr:cNvPr id="14" name="Grafik 13">
            <a:extLst>
              <a:ext uri="{FF2B5EF4-FFF2-40B4-BE49-F238E27FC236}">
                <a16:creationId xmlns:a16="http://schemas.microsoft.com/office/drawing/2014/main" id="{00000000-0008-0000-39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0963275" y="1644946"/>
            <a:ext cx="2019300" cy="5766715"/>
          </a:xfrm>
          <a:prstGeom prst="rect">
            <a:avLst/>
          </a:prstGeom>
        </xdr:spPr>
      </xdr:pic>
      <xdr:sp macro="" textlink="">
        <xdr:nvSpPr>
          <xdr:cNvPr id="15" name="Rechteck 14">
            <a:extLst>
              <a:ext uri="{FF2B5EF4-FFF2-40B4-BE49-F238E27FC236}">
                <a16:creationId xmlns:a16="http://schemas.microsoft.com/office/drawing/2014/main" id="{00000000-0008-0000-3900-00000F000000}"/>
              </a:ext>
            </a:extLst>
          </xdr:cNvPr>
          <xdr:cNvSpPr/>
        </xdr:nvSpPr>
        <xdr:spPr>
          <a:xfrm>
            <a:off x="12639675" y="1638300"/>
            <a:ext cx="4572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3900-000010000000}"/>
              </a:ext>
            </a:extLst>
          </xdr:cNvPr>
          <xdr:cNvSpPr/>
        </xdr:nvSpPr>
        <xdr:spPr>
          <a:xfrm>
            <a:off x="10915650" y="1657350"/>
            <a:ext cx="5715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6</xdr:col>
      <xdr:colOff>612321</xdr:colOff>
      <xdr:row>50</xdr:row>
      <xdr:rowOff>176894</xdr:rowOff>
    </xdr:from>
    <xdr:to>
      <xdr:col>16</xdr:col>
      <xdr:colOff>470081</xdr:colOff>
      <xdr:row>58</xdr:row>
      <xdr:rowOff>176894</xdr:rowOff>
    </xdr:to>
    <xdr:pic>
      <xdr:nvPicPr>
        <xdr:cNvPr id="17" name="Grafik 16" descr="Ein Bild, das Tisch enthält.&#10;&#10;Automatisch generierte Beschreibung">
          <a:extLst>
            <a:ext uri="{FF2B5EF4-FFF2-40B4-BE49-F238E27FC236}">
              <a16:creationId xmlns:a16="http://schemas.microsoft.com/office/drawing/2014/main" id="{00000000-0008-0000-3900-000011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9443358"/>
          <a:ext cx="5668010" cy="1524000"/>
        </a:xfrm>
        <a:prstGeom prst="rect">
          <a:avLst/>
        </a:prstGeom>
      </xdr:spPr>
    </xdr:pic>
    <xdr:clientData/>
  </xdr:twoCellAnchor>
  <xdr:twoCellAnchor editAs="oneCell">
    <xdr:from>
      <xdr:col>18</xdr:col>
      <xdr:colOff>68035</xdr:colOff>
      <xdr:row>51</xdr:row>
      <xdr:rowOff>68036</xdr:rowOff>
    </xdr:from>
    <xdr:to>
      <xdr:col>20</xdr:col>
      <xdr:colOff>721178</xdr:colOff>
      <xdr:row>63</xdr:row>
      <xdr:rowOff>8003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900-000013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b="945"/>
        <a:stretch/>
      </xdr:blipFill>
      <xdr:spPr bwMode="auto">
        <a:xfrm>
          <a:off x="12817928" y="9525000"/>
          <a:ext cx="2177143" cy="21171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95251</xdr:colOff>
      <xdr:row>4</xdr:row>
      <xdr:rowOff>54428</xdr:rowOff>
    </xdr:from>
    <xdr:to>
      <xdr:col>24</xdr:col>
      <xdr:colOff>166553</xdr:colOff>
      <xdr:row>20</xdr:row>
      <xdr:rowOff>77561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3900-000014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b="58367"/>
        <a:stretch/>
      </xdr:blipFill>
      <xdr:spPr bwMode="auto">
        <a:xfrm>
          <a:off x="7402287" y="870857"/>
          <a:ext cx="9745980" cy="2867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96521</xdr:colOff>
      <xdr:row>25</xdr:row>
      <xdr:rowOff>40822</xdr:rowOff>
    </xdr:from>
    <xdr:to>
      <xdr:col>24</xdr:col>
      <xdr:colOff>166553</xdr:colOff>
      <xdr:row>35</xdr:row>
      <xdr:rowOff>31297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3900-00001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1633" b="30839"/>
        <a:stretch/>
      </xdr:blipFill>
      <xdr:spPr bwMode="auto">
        <a:xfrm>
          <a:off x="7403557" y="4653643"/>
          <a:ext cx="9744710" cy="1895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95251</xdr:colOff>
      <xdr:row>35</xdr:row>
      <xdr:rowOff>163286</xdr:rowOff>
    </xdr:from>
    <xdr:to>
      <xdr:col>24</xdr:col>
      <xdr:colOff>166553</xdr:colOff>
      <xdr:row>46</xdr:row>
      <xdr:rowOff>143601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3900-00001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69849"/>
        <a:stretch/>
      </xdr:blipFill>
      <xdr:spPr bwMode="auto">
        <a:xfrm>
          <a:off x="7402287" y="6681107"/>
          <a:ext cx="9745980" cy="20758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156881</xdr:colOff>
      <xdr:row>23</xdr:row>
      <xdr:rowOff>280146</xdr:rowOff>
    </xdr:from>
    <xdr:to>
      <xdr:col>13</xdr:col>
      <xdr:colOff>739176</xdr:colOff>
      <xdr:row>34</xdr:row>
      <xdr:rowOff>55954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3A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645"/>
        <a:stretch/>
      </xdr:blipFill>
      <xdr:spPr bwMode="auto">
        <a:xfrm>
          <a:off x="8012205" y="4034117"/>
          <a:ext cx="2106295" cy="18376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190500</xdr:colOff>
      <xdr:row>8</xdr:row>
      <xdr:rowOff>38101</xdr:rowOff>
    </xdr:from>
    <xdr:to>
      <xdr:col>14</xdr:col>
      <xdr:colOff>552450</xdr:colOff>
      <xdr:row>18</xdr:row>
      <xdr:rowOff>141795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1609726"/>
          <a:ext cx="3657600" cy="1437194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8</xdr:row>
      <xdr:rowOff>28575</xdr:rowOff>
    </xdr:from>
    <xdr:to>
      <xdr:col>13</xdr:col>
      <xdr:colOff>123825</xdr:colOff>
      <xdr:row>9</xdr:row>
      <xdr:rowOff>70757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/>
      </xdr:nvSpPr>
      <xdr:spPr>
        <a:xfrm>
          <a:off x="8982075" y="16002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171450</xdr:colOff>
      <xdr:row>15</xdr:row>
      <xdr:rowOff>38100</xdr:rowOff>
    </xdr:from>
    <xdr:to>
      <xdr:col>11</xdr:col>
      <xdr:colOff>638175</xdr:colOff>
      <xdr:row>23</xdr:row>
      <xdr:rowOff>57150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CxnSpPr/>
      </xdr:nvCxnSpPr>
      <xdr:spPr>
        <a:xfrm flipH="1" flipV="1">
          <a:off x="8029575" y="2333625"/>
          <a:ext cx="466725" cy="1200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68647</xdr:colOff>
      <xdr:row>23</xdr:row>
      <xdr:rowOff>251263</xdr:rowOff>
    </xdr:from>
    <xdr:to>
      <xdr:col>12</xdr:col>
      <xdr:colOff>468697</xdr:colOff>
      <xdr:row>24</xdr:row>
      <xdr:rowOff>60763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/>
      </xdr:nvSpPr>
      <xdr:spPr>
        <a:xfrm>
          <a:off x="8688772" y="3727888"/>
          <a:ext cx="4000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137270</xdr:colOff>
      <xdr:row>23</xdr:row>
      <xdr:rowOff>215714</xdr:rowOff>
    </xdr:from>
    <xdr:to>
      <xdr:col>11</xdr:col>
      <xdr:colOff>448233</xdr:colOff>
      <xdr:row>28</xdr:row>
      <xdr:rowOff>44824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/>
      </xdr:nvSpPr>
      <xdr:spPr>
        <a:xfrm>
          <a:off x="7992594" y="3969685"/>
          <a:ext cx="310963" cy="74799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601756</xdr:colOff>
      <xdr:row>14</xdr:row>
      <xdr:rowOff>168646</xdr:rowOff>
    </xdr:from>
    <xdr:to>
      <xdr:col>11</xdr:col>
      <xdr:colOff>115981</xdr:colOff>
      <xdr:row>16</xdr:row>
      <xdr:rowOff>134628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7448550" y="2544293"/>
          <a:ext cx="522755" cy="23492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28575</xdr:colOff>
      <xdr:row>2</xdr:row>
      <xdr:rowOff>28575</xdr:rowOff>
    </xdr:from>
    <xdr:to>
      <xdr:col>3</xdr:col>
      <xdr:colOff>409575</xdr:colOff>
      <xdr:row>4</xdr:row>
      <xdr:rowOff>178043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GrpSpPr/>
      </xdr:nvGrpSpPr>
      <xdr:grpSpPr>
        <a:xfrm>
          <a:off x="790575" y="409575"/>
          <a:ext cx="2308412" cy="530468"/>
          <a:chOff x="781050" y="409575"/>
          <a:chExt cx="2305050" cy="530468"/>
        </a:xfrm>
      </xdr:grpSpPr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3A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3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14</xdr:col>
      <xdr:colOff>685800</xdr:colOff>
      <xdr:row>8</xdr:row>
      <xdr:rowOff>142875</xdr:rowOff>
    </xdr:from>
    <xdr:to>
      <xdr:col>17</xdr:col>
      <xdr:colOff>524915</xdr:colOff>
      <xdr:row>48</xdr:row>
      <xdr:rowOff>68381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3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29925" y="1714500"/>
          <a:ext cx="2125115" cy="6069131"/>
        </a:xfrm>
        <a:prstGeom prst="rect">
          <a:avLst/>
        </a:prstGeom>
      </xdr:spPr>
    </xdr:pic>
    <xdr:clientData/>
  </xdr:twoCellAnchor>
  <xdr:twoCellAnchor>
    <xdr:from>
      <xdr:col>14</xdr:col>
      <xdr:colOff>516914</xdr:colOff>
      <xdr:row>23</xdr:row>
      <xdr:rowOff>78442</xdr:rowOff>
    </xdr:from>
    <xdr:to>
      <xdr:col>15</xdr:col>
      <xdr:colOff>56070</xdr:colOff>
      <xdr:row>44</xdr:row>
      <xdr:rowOff>44824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3A00-000012000000}"/>
            </a:ext>
          </a:extLst>
        </xdr:cNvPr>
        <xdr:cNvGrpSpPr/>
      </xdr:nvGrpSpPr>
      <xdr:grpSpPr>
        <a:xfrm>
          <a:off x="10658238" y="3832413"/>
          <a:ext cx="301156" cy="3686735"/>
          <a:chOff x="11456379" y="3498605"/>
          <a:chExt cx="252044" cy="3102220"/>
        </a:xfrm>
      </xdr:grpSpPr>
      <xdr:cxnSp macro="">
        <xdr:nvCxnSpPr>
          <xdr:cNvPr id="19" name="Gerade Verbindung mit Pfeil 18">
            <a:extLst>
              <a:ext uri="{FF2B5EF4-FFF2-40B4-BE49-F238E27FC236}">
                <a16:creationId xmlns:a16="http://schemas.microsoft.com/office/drawing/2014/main" id="{00000000-0008-0000-3A00-000013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" name="Textfeld 19">
            <a:extLst>
              <a:ext uri="{FF2B5EF4-FFF2-40B4-BE49-F238E27FC236}">
                <a16:creationId xmlns:a16="http://schemas.microsoft.com/office/drawing/2014/main" id="{00000000-0008-0000-3A00-000014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1" name="Rechteck 20">
            <a:extLst>
              <a:ext uri="{FF2B5EF4-FFF2-40B4-BE49-F238E27FC236}">
                <a16:creationId xmlns:a16="http://schemas.microsoft.com/office/drawing/2014/main" id="{00000000-0008-0000-3A00-000015000000}"/>
              </a:ext>
            </a:extLst>
          </xdr:cNvPr>
          <xdr:cNvSpPr/>
        </xdr:nvSpPr>
        <xdr:spPr>
          <a:xfrm>
            <a:off x="11456379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7</xdr:col>
      <xdr:colOff>683558</xdr:colOff>
      <xdr:row>51</xdr:row>
      <xdr:rowOff>156884</xdr:rowOff>
    </xdr:from>
    <xdr:to>
      <xdr:col>17</xdr:col>
      <xdr:colOff>638735</xdr:colOff>
      <xdr:row>59</xdr:row>
      <xdr:rowOff>134580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11470" y="9592237"/>
          <a:ext cx="5636559" cy="1501696"/>
        </a:xfrm>
        <a:prstGeom prst="rect">
          <a:avLst/>
        </a:prstGeom>
      </xdr:spPr>
    </xdr:pic>
    <xdr:clientData/>
  </xdr:twoCellAnchor>
  <xdr:twoCellAnchor>
    <xdr:from>
      <xdr:col>1</xdr:col>
      <xdr:colOff>1848971</xdr:colOff>
      <xdr:row>2</xdr:row>
      <xdr:rowOff>145675</xdr:rowOff>
    </xdr:from>
    <xdr:to>
      <xdr:col>5</xdr:col>
      <xdr:colOff>516459</xdr:colOff>
      <xdr:row>44</xdr:row>
      <xdr:rowOff>190498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GrpSpPr/>
      </xdr:nvGrpSpPr>
      <xdr:grpSpPr>
        <a:xfrm>
          <a:off x="2053078" y="581104"/>
          <a:ext cx="2953738" cy="7841715"/>
          <a:chOff x="10915650" y="1638300"/>
          <a:chExt cx="2181225" cy="5773361"/>
        </a:xfrm>
      </xdr:grpSpPr>
      <xdr:pic>
        <xdr:nvPicPr>
          <xdr:cNvPr id="14" name="Grafik 13">
            <a:extLst>
              <a:ext uri="{FF2B5EF4-FFF2-40B4-BE49-F238E27FC236}">
                <a16:creationId xmlns:a16="http://schemas.microsoft.com/office/drawing/2014/main" id="{00000000-0008-0000-3B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63275" y="1644946"/>
            <a:ext cx="2019300" cy="5766715"/>
          </a:xfrm>
          <a:prstGeom prst="rect">
            <a:avLst/>
          </a:prstGeom>
        </xdr:spPr>
      </xdr:pic>
      <xdr:sp macro="" textlink="">
        <xdr:nvSpPr>
          <xdr:cNvPr id="15" name="Rechteck 14">
            <a:extLst>
              <a:ext uri="{FF2B5EF4-FFF2-40B4-BE49-F238E27FC236}">
                <a16:creationId xmlns:a16="http://schemas.microsoft.com/office/drawing/2014/main" id="{00000000-0008-0000-3B00-00000F000000}"/>
              </a:ext>
            </a:extLst>
          </xdr:cNvPr>
          <xdr:cNvSpPr/>
        </xdr:nvSpPr>
        <xdr:spPr>
          <a:xfrm>
            <a:off x="12639675" y="1638300"/>
            <a:ext cx="4572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3B00-000010000000}"/>
              </a:ext>
            </a:extLst>
          </xdr:cNvPr>
          <xdr:cNvSpPr/>
        </xdr:nvSpPr>
        <xdr:spPr>
          <a:xfrm>
            <a:off x="10915650" y="1657350"/>
            <a:ext cx="571500" cy="4000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18</xdr:col>
      <xdr:colOff>163285</xdr:colOff>
      <xdr:row>51</xdr:row>
      <xdr:rowOff>122464</xdr:rowOff>
    </xdr:from>
    <xdr:to>
      <xdr:col>21</xdr:col>
      <xdr:colOff>272143</xdr:colOff>
      <xdr:row>63</xdr:row>
      <xdr:rowOff>34775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645"/>
        <a:stretch/>
      </xdr:blipFill>
      <xdr:spPr bwMode="auto">
        <a:xfrm>
          <a:off x="12572999" y="9579428"/>
          <a:ext cx="2394858" cy="20894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40821</xdr:colOff>
      <xdr:row>4</xdr:row>
      <xdr:rowOff>176892</xdr:rowOff>
    </xdr:from>
    <xdr:to>
      <xdr:col>24</xdr:col>
      <xdr:colOff>233317</xdr:colOff>
      <xdr:row>20</xdr:row>
      <xdr:rowOff>76200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B00-000013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b="58781"/>
        <a:stretch/>
      </xdr:blipFill>
      <xdr:spPr bwMode="auto">
        <a:xfrm>
          <a:off x="7007678" y="993321"/>
          <a:ext cx="9744710" cy="2743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40821</xdr:colOff>
      <xdr:row>25</xdr:row>
      <xdr:rowOff>27214</xdr:rowOff>
    </xdr:from>
    <xdr:to>
      <xdr:col>24</xdr:col>
      <xdr:colOff>232047</xdr:colOff>
      <xdr:row>34</xdr:row>
      <xdr:rowOff>179614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3B00-000014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1076" b="30870"/>
        <a:stretch/>
      </xdr:blipFill>
      <xdr:spPr bwMode="auto">
        <a:xfrm>
          <a:off x="7007678" y="4640035"/>
          <a:ext cx="9743440" cy="1866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40821</xdr:colOff>
      <xdr:row>36</xdr:row>
      <xdr:rowOff>13607</xdr:rowOff>
    </xdr:from>
    <xdr:to>
      <xdr:col>24</xdr:col>
      <xdr:colOff>233317</xdr:colOff>
      <xdr:row>46</xdr:row>
      <xdr:rowOff>143782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69414"/>
        <a:stretch/>
      </xdr:blipFill>
      <xdr:spPr bwMode="auto">
        <a:xfrm>
          <a:off x="7007678" y="6721928"/>
          <a:ext cx="9744710" cy="20351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1122</xdr:colOff>
      <xdr:row>3</xdr:row>
      <xdr:rowOff>95810</xdr:rowOff>
    </xdr:from>
    <xdr:to>
      <xdr:col>23</xdr:col>
      <xdr:colOff>184500</xdr:colOff>
      <xdr:row>23</xdr:row>
      <xdr:rowOff>112059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3517"/>
        <a:stretch/>
      </xdr:blipFill>
      <xdr:spPr>
        <a:xfrm>
          <a:off x="7755593" y="667310"/>
          <a:ext cx="9192908" cy="3613337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4794" y="9023538"/>
          <a:ext cx="3820058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962026"/>
          <a:ext cx="1771650" cy="2564530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76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10</xdr:col>
      <xdr:colOff>1122</xdr:colOff>
      <xdr:row>25</xdr:row>
      <xdr:rowOff>168087</xdr:rowOff>
    </xdr:from>
    <xdr:to>
      <xdr:col>23</xdr:col>
      <xdr:colOff>184500</xdr:colOff>
      <xdr:row>36</xdr:row>
      <xdr:rowOff>33616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7406" b="27367"/>
        <a:stretch/>
      </xdr:blipFill>
      <xdr:spPr>
        <a:xfrm>
          <a:off x="7755593" y="4930587"/>
          <a:ext cx="9192908" cy="1961029"/>
        </a:xfrm>
        <a:prstGeom prst="rect">
          <a:avLst/>
        </a:prstGeom>
      </xdr:spPr>
    </xdr:pic>
    <xdr:clientData/>
  </xdr:twoCellAnchor>
  <xdr:twoCellAnchor editAs="oneCell">
    <xdr:from>
      <xdr:col>10</xdr:col>
      <xdr:colOff>1122</xdr:colOff>
      <xdr:row>36</xdr:row>
      <xdr:rowOff>112057</xdr:rowOff>
    </xdr:from>
    <xdr:to>
      <xdr:col>23</xdr:col>
      <xdr:colOff>184500</xdr:colOff>
      <xdr:row>47</xdr:row>
      <xdr:rowOff>5006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4420"/>
        <a:stretch/>
      </xdr:blipFill>
      <xdr:spPr>
        <a:xfrm>
          <a:off x="7755593" y="6970057"/>
          <a:ext cx="9192908" cy="1988449"/>
        </a:xfrm>
        <a:prstGeom prst="rect">
          <a:avLst/>
        </a:prstGeom>
      </xdr:spPr>
    </xdr:pic>
    <xdr:clientData/>
  </xdr:twoCellAnchor>
  <xdr:twoCellAnchor>
    <xdr:from>
      <xdr:col>1</xdr:col>
      <xdr:colOff>1836964</xdr:colOff>
      <xdr:row>3</xdr:row>
      <xdr:rowOff>176893</xdr:rowOff>
    </xdr:from>
    <xdr:to>
      <xdr:col>5</xdr:col>
      <xdr:colOff>612321</xdr:colOff>
      <xdr:row>42</xdr:row>
      <xdr:rowOff>108858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41071" y="802822"/>
          <a:ext cx="3061607" cy="7157357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52</xdr:row>
      <xdr:rowOff>0</xdr:rowOff>
    </xdr:from>
    <xdr:to>
      <xdr:col>17</xdr:col>
      <xdr:colOff>478972</xdr:colOff>
      <xdr:row>59</xdr:row>
      <xdr:rowOff>136071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22572" y="9647464"/>
          <a:ext cx="5649686" cy="1469571"/>
        </a:xfrm>
        <a:prstGeom prst="rect">
          <a:avLst/>
        </a:prstGeom>
      </xdr:spPr>
    </xdr:pic>
    <xdr:clientData/>
  </xdr:twoCellAnchor>
  <xdr:twoCellAnchor editAs="oneCell">
    <xdr:from>
      <xdr:col>18</xdr:col>
      <xdr:colOff>544286</xdr:colOff>
      <xdr:row>52</xdr:row>
      <xdr:rowOff>68035</xdr:rowOff>
    </xdr:from>
    <xdr:to>
      <xdr:col>22</xdr:col>
      <xdr:colOff>68035</xdr:colOff>
      <xdr:row>66</xdr:row>
      <xdr:rowOff>19048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954000" y="9715499"/>
          <a:ext cx="2571749" cy="2400299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" name="Gruppier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6" name="Gruppier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0000000-0008-0000-3C00-000007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3C00-000008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Pfeil: nach rechts 8">
            <a:extLst>
              <a:ext uri="{FF2B5EF4-FFF2-40B4-BE49-F238E27FC236}">
                <a16:creationId xmlns:a16="http://schemas.microsoft.com/office/drawing/2014/main" id="{00000000-0008-0000-3C00-000009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10" name="Gruppier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3C00-00000B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3C00-00000C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" name="Pfeil: nach rechts 12">
            <a:extLst>
              <a:ext uri="{FF2B5EF4-FFF2-40B4-BE49-F238E27FC236}">
                <a16:creationId xmlns:a16="http://schemas.microsoft.com/office/drawing/2014/main" id="{00000000-0008-0000-3C00-00000D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14" name="Gruppieren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C00-00000E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3C00-00000F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3C00-000010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Pfeil: nach rechts 16">
            <a:extLst>
              <a:ext uri="{FF2B5EF4-FFF2-40B4-BE49-F238E27FC236}">
                <a16:creationId xmlns:a16="http://schemas.microsoft.com/office/drawing/2014/main" id="{00000000-0008-0000-3C00-000011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</xdr:col>
      <xdr:colOff>7327</xdr:colOff>
      <xdr:row>3</xdr:row>
      <xdr:rowOff>98180</xdr:rowOff>
    </xdr:from>
    <xdr:to>
      <xdr:col>4</xdr:col>
      <xdr:colOff>497071</xdr:colOff>
      <xdr:row>4</xdr:row>
      <xdr:rowOff>171449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3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9327" y="669680"/>
          <a:ext cx="2261394" cy="263769"/>
        </a:xfrm>
        <a:prstGeom prst="rect">
          <a:avLst/>
        </a:prstGeom>
      </xdr:spPr>
    </xdr:pic>
    <xdr:clientData/>
  </xdr:twoCellAnchor>
  <xdr:twoCellAnchor editAs="oneCell">
    <xdr:from>
      <xdr:col>1</xdr:col>
      <xdr:colOff>7327</xdr:colOff>
      <xdr:row>2</xdr:row>
      <xdr:rowOff>21981</xdr:rowOff>
    </xdr:from>
    <xdr:to>
      <xdr:col>4</xdr:col>
      <xdr:colOff>539262</xdr:colOff>
      <xdr:row>3</xdr:row>
      <xdr:rowOff>91205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9327" y="402981"/>
          <a:ext cx="2303585" cy="25972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549089</xdr:colOff>
      <xdr:row>21</xdr:row>
      <xdr:rowOff>78443</xdr:rowOff>
    </xdr:from>
    <xdr:to>
      <xdr:col>14</xdr:col>
      <xdr:colOff>257734</xdr:colOff>
      <xdr:row>32</xdr:row>
      <xdr:rowOff>125387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3D00-00001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4413" y="3563472"/>
          <a:ext cx="1994645" cy="2019180"/>
        </a:xfrm>
        <a:prstGeom prst="rect">
          <a:avLst/>
        </a:prstGeom>
      </xdr:spPr>
    </xdr:pic>
    <xdr:clientData/>
  </xdr:twoCellAnchor>
  <xdr:twoCellAnchor>
    <xdr:from>
      <xdr:col>14</xdr:col>
      <xdr:colOff>685800</xdr:colOff>
      <xdr:row>8</xdr:row>
      <xdr:rowOff>161925</xdr:rowOff>
    </xdr:from>
    <xdr:to>
      <xdr:col>17</xdr:col>
      <xdr:colOff>600550</xdr:colOff>
      <xdr:row>47</xdr:row>
      <xdr:rowOff>48564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GrpSpPr/>
      </xdr:nvGrpSpPr>
      <xdr:grpSpPr>
        <a:xfrm>
          <a:off x="10827124" y="1730749"/>
          <a:ext cx="2200750" cy="6150727"/>
          <a:chOff x="10829925" y="1733550"/>
          <a:chExt cx="2200750" cy="5849289"/>
        </a:xfrm>
      </xdr:grpSpPr>
      <xdr:pic>
        <xdr:nvPicPr>
          <xdr:cNvPr id="19" name="Grafik 18">
            <a:extLst>
              <a:ext uri="{FF2B5EF4-FFF2-40B4-BE49-F238E27FC236}">
                <a16:creationId xmlns:a16="http://schemas.microsoft.com/office/drawing/2014/main" id="{00000000-0008-0000-3D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20" name="Rechteck 19">
            <a:extLst>
              <a:ext uri="{FF2B5EF4-FFF2-40B4-BE49-F238E27FC236}">
                <a16:creationId xmlns:a16="http://schemas.microsoft.com/office/drawing/2014/main" id="{00000000-0008-0000-3D00-000014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9</xdr:col>
      <xdr:colOff>514350</xdr:colOff>
      <xdr:row>8</xdr:row>
      <xdr:rowOff>142875</xdr:rowOff>
    </xdr:from>
    <xdr:to>
      <xdr:col>14</xdr:col>
      <xdr:colOff>479962</xdr:colOff>
      <xdr:row>25</xdr:row>
      <xdr:rowOff>36286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7361144" y="1711699"/>
          <a:ext cx="3260142" cy="2650058"/>
          <a:chOff x="7362825" y="1714500"/>
          <a:chExt cx="3261262" cy="2171035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362825" y="1771650"/>
            <a:ext cx="3261262" cy="1027967"/>
          </a:xfrm>
          <a:prstGeom prst="rect">
            <a:avLst/>
          </a:prstGeom>
        </xdr:spPr>
      </xdr:pic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382000" y="1714500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CxnSpPr/>
        </xdr:nvCxnSpPr>
        <xdr:spPr>
          <a:xfrm flipV="1">
            <a:off x="8829675" y="2295525"/>
            <a:ext cx="752475" cy="76200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3D00-000007000000}"/>
              </a:ext>
            </a:extLst>
          </xdr:cNvPr>
          <xdr:cNvSpPr/>
        </xdr:nvSpPr>
        <xdr:spPr>
          <a:xfrm>
            <a:off x="8678391" y="3210432"/>
            <a:ext cx="359611" cy="16553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3D00-000008000000}"/>
              </a:ext>
            </a:extLst>
          </xdr:cNvPr>
          <xdr:cNvSpPr/>
        </xdr:nvSpPr>
        <xdr:spPr>
          <a:xfrm>
            <a:off x="8377688" y="3210432"/>
            <a:ext cx="279592" cy="6751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400050</xdr:colOff>
      <xdr:row>4</xdr:row>
      <xdr:rowOff>178043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GrpSpPr/>
      </xdr:nvGrpSpPr>
      <xdr:grpSpPr>
        <a:xfrm>
          <a:off x="781050" y="409575"/>
          <a:ext cx="2308412" cy="530468"/>
          <a:chOff x="781050" y="409575"/>
          <a:chExt cx="2305050" cy="530468"/>
        </a:xfrm>
      </xdr:grpSpPr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3D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3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674035</xdr:colOff>
      <xdr:row>35</xdr:row>
      <xdr:rowOff>26894</xdr:rowOff>
    </xdr:from>
    <xdr:to>
      <xdr:col>13</xdr:col>
      <xdr:colOff>305740</xdr:colOff>
      <xdr:row>44</xdr:row>
      <xdr:rowOff>26895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3D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8947" t="17250"/>
        <a:stretch/>
      </xdr:blipFill>
      <xdr:spPr>
        <a:xfrm>
          <a:off x="7520829" y="6111688"/>
          <a:ext cx="2164235" cy="1288678"/>
        </a:xfrm>
        <a:prstGeom prst="rect">
          <a:avLst/>
        </a:prstGeom>
      </xdr:spPr>
    </xdr:pic>
    <xdr:clientData/>
  </xdr:twoCellAnchor>
  <xdr:twoCellAnchor>
    <xdr:from>
      <xdr:col>11</xdr:col>
      <xdr:colOff>676276</xdr:colOff>
      <xdr:row>41</xdr:row>
      <xdr:rowOff>36420</xdr:rowOff>
    </xdr:from>
    <xdr:to>
      <xdr:col>12</xdr:col>
      <xdr:colOff>438151</xdr:colOff>
      <xdr:row>42</xdr:row>
      <xdr:rowOff>74821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00000000-0008-0000-3D00-000012000000}"/>
            </a:ext>
          </a:extLst>
        </xdr:cNvPr>
        <xdr:cNvSpPr/>
      </xdr:nvSpPr>
      <xdr:spPr>
        <a:xfrm>
          <a:off x="8531600" y="6939244"/>
          <a:ext cx="523875" cy="24010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515470</xdr:colOff>
      <xdr:row>26</xdr:row>
      <xdr:rowOff>112059</xdr:rowOff>
    </xdr:from>
    <xdr:to>
      <xdr:col>12</xdr:col>
      <xdr:colOff>134470</xdr:colOff>
      <xdr:row>34</xdr:row>
      <xdr:rowOff>336176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CxnSpPr/>
      </xdr:nvCxnSpPr>
      <xdr:spPr>
        <a:xfrm flipV="1">
          <a:off x="8370794" y="4515971"/>
          <a:ext cx="381000" cy="15464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672352</xdr:colOff>
      <xdr:row>24</xdr:row>
      <xdr:rowOff>112058</xdr:rowOff>
    </xdr:from>
    <xdr:to>
      <xdr:col>15</xdr:col>
      <xdr:colOff>190499</xdr:colOff>
      <xdr:row>44</xdr:row>
      <xdr:rowOff>89647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00000000-0008-0000-3D00-000018000000}"/>
            </a:ext>
          </a:extLst>
        </xdr:cNvPr>
        <xdr:cNvGrpSpPr/>
      </xdr:nvGrpSpPr>
      <xdr:grpSpPr>
        <a:xfrm>
          <a:off x="10813676" y="4247029"/>
          <a:ext cx="280147" cy="3216089"/>
          <a:chOff x="11473962" y="3498605"/>
          <a:chExt cx="234462" cy="3102220"/>
        </a:xfrm>
      </xdr:grpSpPr>
      <xdr:cxnSp macro="">
        <xdr:nvCxnSpPr>
          <xdr:cNvPr id="25" name="Gerade Verbindung mit Pfeil 24">
            <a:extLst>
              <a:ext uri="{FF2B5EF4-FFF2-40B4-BE49-F238E27FC236}">
                <a16:creationId xmlns:a16="http://schemas.microsoft.com/office/drawing/2014/main" id="{00000000-0008-0000-3D00-000019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6" name="Textfeld 25">
            <a:extLst>
              <a:ext uri="{FF2B5EF4-FFF2-40B4-BE49-F238E27FC236}">
                <a16:creationId xmlns:a16="http://schemas.microsoft.com/office/drawing/2014/main" id="{00000000-0008-0000-3D00-00001A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7" name="Rechteck 26">
            <a:extLst>
              <a:ext uri="{FF2B5EF4-FFF2-40B4-BE49-F238E27FC236}">
                <a16:creationId xmlns:a16="http://schemas.microsoft.com/office/drawing/2014/main" id="{00000000-0008-0000-3D00-00001B000000}"/>
              </a:ext>
            </a:extLst>
          </xdr:cNvPr>
          <xdr:cNvSpPr/>
        </xdr:nvSpPr>
        <xdr:spPr>
          <a:xfrm>
            <a:off x="11503270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0</xdr:col>
      <xdr:colOff>211232</xdr:colOff>
      <xdr:row>7</xdr:row>
      <xdr:rowOff>34738</xdr:rowOff>
    </xdr:from>
    <xdr:to>
      <xdr:col>2</xdr:col>
      <xdr:colOff>36186</xdr:colOff>
      <xdr:row>21</xdr:row>
      <xdr:rowOff>67234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232" y="1311088"/>
          <a:ext cx="1901404" cy="2585196"/>
        </a:xfrm>
        <a:prstGeom prst="rect">
          <a:avLst/>
        </a:prstGeom>
      </xdr:spPr>
    </xdr:pic>
    <xdr:clientData/>
  </xdr:twoCellAnchor>
  <xdr:twoCellAnchor editAs="oneCell">
    <xdr:from>
      <xdr:col>8</xdr:col>
      <xdr:colOff>257736</xdr:colOff>
      <xdr:row>35</xdr:row>
      <xdr:rowOff>33618</xdr:rowOff>
    </xdr:from>
    <xdr:to>
      <xdr:col>25</xdr:col>
      <xdr:colOff>67237</xdr:colOff>
      <xdr:row>45</xdr:row>
      <xdr:rowOff>148588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3E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2454"/>
        <a:stretch/>
      </xdr:blipFill>
      <xdr:spPr>
        <a:xfrm>
          <a:off x="7115736" y="6529668"/>
          <a:ext cx="9896476" cy="2019970"/>
        </a:xfrm>
        <a:prstGeom prst="rect">
          <a:avLst/>
        </a:prstGeom>
      </xdr:spPr>
    </xdr:pic>
    <xdr:clientData/>
  </xdr:twoCellAnchor>
  <xdr:twoCellAnchor editAs="oneCell">
    <xdr:from>
      <xdr:col>9</xdr:col>
      <xdr:colOff>40342</xdr:colOff>
      <xdr:row>4</xdr:row>
      <xdr:rowOff>89646</xdr:rowOff>
    </xdr:from>
    <xdr:to>
      <xdr:col>24</xdr:col>
      <xdr:colOff>48364</xdr:colOff>
      <xdr:row>23</xdr:row>
      <xdr:rowOff>67235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52209"/>
        <a:stretch/>
      </xdr:blipFill>
      <xdr:spPr>
        <a:xfrm>
          <a:off x="7203142" y="899271"/>
          <a:ext cx="9552072" cy="3378014"/>
        </a:xfrm>
        <a:prstGeom prst="rect">
          <a:avLst/>
        </a:prstGeom>
      </xdr:spPr>
    </xdr:pic>
    <xdr:clientData/>
  </xdr:twoCellAnchor>
  <xdr:twoCellAnchor editAs="oneCell">
    <xdr:from>
      <xdr:col>8</xdr:col>
      <xdr:colOff>275665</xdr:colOff>
      <xdr:row>25</xdr:row>
      <xdr:rowOff>145676</xdr:rowOff>
    </xdr:from>
    <xdr:to>
      <xdr:col>24</xdr:col>
      <xdr:colOff>190500</xdr:colOff>
      <xdr:row>35</xdr:row>
      <xdr:rowOff>50073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7933" b="27063"/>
        <a:stretch/>
      </xdr:blipFill>
      <xdr:spPr>
        <a:xfrm>
          <a:off x="7133665" y="4736726"/>
          <a:ext cx="9763685" cy="1809397"/>
        </a:xfrm>
        <a:prstGeom prst="rect">
          <a:avLst/>
        </a:prstGeom>
      </xdr:spPr>
    </xdr:pic>
    <xdr:clientData/>
  </xdr:twoCellAnchor>
  <xdr:twoCellAnchor editAs="oneCell">
    <xdr:from>
      <xdr:col>1</xdr:col>
      <xdr:colOff>1703294</xdr:colOff>
      <xdr:row>49</xdr:row>
      <xdr:rowOff>177458</xdr:rowOff>
    </xdr:from>
    <xdr:to>
      <xdr:col>4</xdr:col>
      <xdr:colOff>470647</xdr:colOff>
      <xdr:row>60</xdr:row>
      <xdr:rowOff>136442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12844" y="9226208"/>
          <a:ext cx="2291603" cy="1942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123265</xdr:rowOff>
    </xdr:from>
    <xdr:to>
      <xdr:col>5</xdr:col>
      <xdr:colOff>818030</xdr:colOff>
      <xdr:row>43</xdr:row>
      <xdr:rowOff>145677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3E00-00000E000000}"/>
            </a:ext>
          </a:extLst>
        </xdr:cNvPr>
        <xdr:cNvGrpSpPr/>
      </xdr:nvGrpSpPr>
      <xdr:grpSpPr>
        <a:xfrm>
          <a:off x="2068286" y="749194"/>
          <a:ext cx="3240101" cy="7438304"/>
          <a:chOff x="10829925" y="1733550"/>
          <a:chExt cx="2200750" cy="5849289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3E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3E00-000010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17</xdr:col>
      <xdr:colOff>485056</xdr:colOff>
      <xdr:row>68</xdr:row>
      <xdr:rowOff>16009</xdr:rowOff>
    </xdr:from>
    <xdr:to>
      <xdr:col>20</xdr:col>
      <xdr:colOff>318467</xdr:colOff>
      <xdr:row>74</xdr:row>
      <xdr:rowOff>149360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3E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8947" t="17250"/>
        <a:stretch/>
      </xdr:blipFill>
      <xdr:spPr>
        <a:xfrm>
          <a:off x="12268842" y="12493759"/>
          <a:ext cx="2173839" cy="12763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65</xdr:row>
      <xdr:rowOff>68036</xdr:rowOff>
    </xdr:from>
    <xdr:to>
      <xdr:col>16</xdr:col>
      <xdr:colOff>427900</xdr:colOff>
      <xdr:row>70</xdr:row>
      <xdr:rowOff>141514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3E00-000012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33510"/>
        <a:stretch/>
      </xdr:blipFill>
      <xdr:spPr>
        <a:xfrm>
          <a:off x="5715001" y="11974286"/>
          <a:ext cx="5734685" cy="1025978"/>
        </a:xfrm>
        <a:prstGeom prst="rect">
          <a:avLst/>
        </a:prstGeom>
      </xdr:spPr>
    </xdr:pic>
    <xdr:clientData/>
  </xdr:twoCellAnchor>
  <xdr:twoCellAnchor editAs="oneCell">
    <xdr:from>
      <xdr:col>17</xdr:col>
      <xdr:colOff>802821</xdr:colOff>
      <xdr:row>53</xdr:row>
      <xdr:rowOff>81643</xdr:rowOff>
    </xdr:from>
    <xdr:to>
      <xdr:col>21</xdr:col>
      <xdr:colOff>149679</xdr:colOff>
      <xdr:row>65</xdr:row>
      <xdr:rowOff>54429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586607" y="9810750"/>
          <a:ext cx="2449286" cy="2149929"/>
        </a:xfrm>
        <a:prstGeom prst="rect">
          <a:avLst/>
        </a:prstGeom>
      </xdr:spPr>
    </xdr:pic>
    <xdr:clientData/>
  </xdr:twoCellAnchor>
  <xdr:twoCellAnchor>
    <xdr:from>
      <xdr:col>6</xdr:col>
      <xdr:colOff>517072</xdr:colOff>
      <xdr:row>52</xdr:row>
      <xdr:rowOff>149891</xdr:rowOff>
    </xdr:from>
    <xdr:to>
      <xdr:col>16</xdr:col>
      <xdr:colOff>272143</xdr:colOff>
      <xdr:row>63</xdr:row>
      <xdr:rowOff>133351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GrpSpPr/>
      </xdr:nvGrpSpPr>
      <xdr:grpSpPr>
        <a:xfrm>
          <a:off x="5851072" y="9688498"/>
          <a:ext cx="5442857" cy="1970103"/>
          <a:chOff x="6627727" y="9971941"/>
          <a:chExt cx="4802273" cy="1730621"/>
        </a:xfrm>
      </xdr:grpSpPr>
      <xdr:pic>
        <xdr:nvPicPr>
          <xdr:cNvPr id="21" name="Grafik 20">
            <a:extLst>
              <a:ext uri="{FF2B5EF4-FFF2-40B4-BE49-F238E27FC236}">
                <a16:creationId xmlns:a16="http://schemas.microsoft.com/office/drawing/2014/main" id="{00000000-0008-0000-3E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00000000-0008-0000-3E00-000016000000}"/>
              </a:ext>
            </a:extLst>
          </xdr:cNvPr>
          <xdr:cNvSpPr/>
        </xdr:nvSpPr>
        <xdr:spPr>
          <a:xfrm>
            <a:off x="8943425" y="10533750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571501</xdr:colOff>
      <xdr:row>22</xdr:row>
      <xdr:rowOff>98241</xdr:rowOff>
    </xdr:from>
    <xdr:to>
      <xdr:col>13</xdr:col>
      <xdr:colOff>138943</xdr:colOff>
      <xdr:row>32</xdr:row>
      <xdr:rowOff>49396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3F00-00001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6883" y="3661712"/>
          <a:ext cx="2099972" cy="1710478"/>
        </a:xfrm>
        <a:prstGeom prst="rect">
          <a:avLst/>
        </a:prstGeom>
      </xdr:spPr>
    </xdr:pic>
    <xdr:clientData/>
  </xdr:twoCellAnchor>
  <xdr:twoCellAnchor editAs="oneCell">
    <xdr:from>
      <xdr:col>9</xdr:col>
      <xdr:colOff>205868</xdr:colOff>
      <xdr:row>8</xdr:row>
      <xdr:rowOff>143063</xdr:rowOff>
    </xdr:from>
    <xdr:to>
      <xdr:col>14</xdr:col>
      <xdr:colOff>657910</xdr:colOff>
      <xdr:row>18</xdr:row>
      <xdr:rowOff>2240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3F00-000017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r="26738"/>
        <a:stretch/>
      </xdr:blipFill>
      <xdr:spPr>
        <a:xfrm>
          <a:off x="7411250" y="1711887"/>
          <a:ext cx="3746572" cy="1201641"/>
        </a:xfrm>
        <a:prstGeom prst="rect">
          <a:avLst/>
        </a:prstGeom>
      </xdr:spPr>
    </xdr:pic>
    <xdr:clientData/>
  </xdr:twoCellAnchor>
  <xdr:twoCellAnchor>
    <xdr:from>
      <xdr:col>14</xdr:col>
      <xdr:colOff>661147</xdr:colOff>
      <xdr:row>10</xdr:row>
      <xdr:rowOff>67234</xdr:rowOff>
    </xdr:from>
    <xdr:to>
      <xdr:col>17</xdr:col>
      <xdr:colOff>575897</xdr:colOff>
      <xdr:row>48</xdr:row>
      <xdr:rowOff>123082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GrpSpPr/>
      </xdr:nvGrpSpPr>
      <xdr:grpSpPr>
        <a:xfrm>
          <a:off x="11161059" y="1904999"/>
          <a:ext cx="2200750" cy="6118230"/>
          <a:chOff x="10829925" y="1733550"/>
          <a:chExt cx="2200750" cy="5849289"/>
        </a:xfrm>
      </xdr:grpSpPr>
      <xdr:pic>
        <xdr:nvPicPr>
          <xdr:cNvPr id="19" name="Grafik 18">
            <a:extLst>
              <a:ext uri="{FF2B5EF4-FFF2-40B4-BE49-F238E27FC236}">
                <a16:creationId xmlns:a16="http://schemas.microsoft.com/office/drawing/2014/main" id="{00000000-0008-0000-3F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20" name="Rechteck 19">
            <a:extLst>
              <a:ext uri="{FF2B5EF4-FFF2-40B4-BE49-F238E27FC236}">
                <a16:creationId xmlns:a16="http://schemas.microsoft.com/office/drawing/2014/main" id="{00000000-0008-0000-3F00-000014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11</xdr:col>
      <xdr:colOff>416719</xdr:colOff>
      <xdr:row>8</xdr:row>
      <xdr:rowOff>148827</xdr:rowOff>
    </xdr:from>
    <xdr:to>
      <xdr:col>13</xdr:col>
      <xdr:colOff>759406</xdr:colOff>
      <xdr:row>25</xdr:row>
      <xdr:rowOff>38236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GrpSpPr/>
      </xdr:nvGrpSpPr>
      <xdr:grpSpPr>
        <a:xfrm>
          <a:off x="8630631" y="1717651"/>
          <a:ext cx="1866687" cy="2646056"/>
          <a:chOff x="8274120" y="1706805"/>
          <a:chExt cx="1867280" cy="2112651"/>
        </a:xfrm>
      </xdr:grpSpPr>
      <xdr:sp macro="" textlink="">
        <xdr:nvSpPr>
          <xdr:cNvPr id="9" name="Rechteck 8">
            <a:extLst>
              <a:ext uri="{FF2B5EF4-FFF2-40B4-BE49-F238E27FC236}">
                <a16:creationId xmlns:a16="http://schemas.microsoft.com/office/drawing/2014/main" id="{00000000-0008-0000-3F00-000009000000}"/>
              </a:ext>
            </a:extLst>
          </xdr:cNvPr>
          <xdr:cNvSpPr/>
        </xdr:nvSpPr>
        <xdr:spPr>
          <a:xfrm>
            <a:off x="8274120" y="1706805"/>
            <a:ext cx="373396" cy="13816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10" name="Gerade Verbindung mit Pfeil 9">
            <a:extLst>
              <a:ext uri="{FF2B5EF4-FFF2-40B4-BE49-F238E27FC236}">
                <a16:creationId xmlns:a16="http://schemas.microsoft.com/office/drawing/2014/main" id="{00000000-0008-0000-3F00-00000A000000}"/>
              </a:ext>
            </a:extLst>
          </xdr:cNvPr>
          <xdr:cNvCxnSpPr/>
        </xdr:nvCxnSpPr>
        <xdr:spPr>
          <a:xfrm flipV="1">
            <a:off x="8534400" y="2362200"/>
            <a:ext cx="752475" cy="83820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3F00-00000B000000}"/>
              </a:ext>
            </a:extLst>
          </xdr:cNvPr>
          <xdr:cNvSpPr/>
        </xdr:nvSpPr>
        <xdr:spPr>
          <a:xfrm>
            <a:off x="8380163" y="3250475"/>
            <a:ext cx="423957" cy="15831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2" name="Rechteck 11">
            <a:extLst>
              <a:ext uri="{FF2B5EF4-FFF2-40B4-BE49-F238E27FC236}">
                <a16:creationId xmlns:a16="http://schemas.microsoft.com/office/drawing/2014/main" id="{00000000-0008-0000-3F00-00000C000000}"/>
              </a:ext>
            </a:extLst>
          </xdr:cNvPr>
          <xdr:cNvSpPr/>
        </xdr:nvSpPr>
        <xdr:spPr>
          <a:xfrm>
            <a:off x="9192583" y="3231417"/>
            <a:ext cx="254678" cy="58803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00000000-0008-0000-3F00-00000D000000}"/>
              </a:ext>
            </a:extLst>
          </xdr:cNvPr>
          <xdr:cNvSpPr/>
        </xdr:nvSpPr>
        <xdr:spPr>
          <a:xfrm>
            <a:off x="9617525" y="2378945"/>
            <a:ext cx="523875" cy="19022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9525</xdr:colOff>
      <xdr:row>2</xdr:row>
      <xdr:rowOff>28575</xdr:rowOff>
    </xdr:from>
    <xdr:to>
      <xdr:col>3</xdr:col>
      <xdr:colOff>390525</xdr:colOff>
      <xdr:row>4</xdr:row>
      <xdr:rowOff>178043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GrpSpPr/>
      </xdr:nvGrpSpPr>
      <xdr:grpSpPr>
        <a:xfrm>
          <a:off x="771525" y="409575"/>
          <a:ext cx="2667000" cy="530468"/>
          <a:chOff x="781050" y="409575"/>
          <a:chExt cx="2305050" cy="530468"/>
        </a:xfrm>
      </xdr:grpSpPr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3F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7" name="Grafik 16">
            <a:extLst>
              <a:ext uri="{FF2B5EF4-FFF2-40B4-BE49-F238E27FC236}">
                <a16:creationId xmlns:a16="http://schemas.microsoft.com/office/drawing/2014/main" id="{00000000-0008-0000-3F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128868</xdr:colOff>
      <xdr:row>39</xdr:row>
      <xdr:rowOff>12888</xdr:rowOff>
    </xdr:from>
    <xdr:to>
      <xdr:col>13</xdr:col>
      <xdr:colOff>521453</xdr:colOff>
      <xdr:row>49</xdr:row>
      <xdr:rowOff>24095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3F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8947" t="17250"/>
        <a:stretch/>
      </xdr:blipFill>
      <xdr:spPr>
        <a:xfrm>
          <a:off x="8101293" y="6623238"/>
          <a:ext cx="2164235" cy="1459007"/>
        </a:xfrm>
        <a:prstGeom prst="rect">
          <a:avLst/>
        </a:prstGeom>
      </xdr:spPr>
    </xdr:pic>
    <xdr:clientData/>
  </xdr:twoCellAnchor>
  <xdr:twoCellAnchor>
    <xdr:from>
      <xdr:col>12</xdr:col>
      <xdr:colOff>100294</xdr:colOff>
      <xdr:row>45</xdr:row>
      <xdr:rowOff>54349</xdr:rowOff>
    </xdr:from>
    <xdr:to>
      <xdr:col>12</xdr:col>
      <xdr:colOff>624169</xdr:colOff>
      <xdr:row>47</xdr:row>
      <xdr:rowOff>11206</xdr:rowOff>
    </xdr:to>
    <xdr:sp macro="" textlink="">
      <xdr:nvSpPr>
        <xdr:cNvPr id="22" name="Rechteck 21">
          <a:extLst>
            <a:ext uri="{FF2B5EF4-FFF2-40B4-BE49-F238E27FC236}">
              <a16:creationId xmlns:a16="http://schemas.microsoft.com/office/drawing/2014/main" id="{00000000-0008-0000-3F00-000016000000}"/>
            </a:ext>
          </a:extLst>
        </xdr:cNvPr>
        <xdr:cNvSpPr/>
      </xdr:nvSpPr>
      <xdr:spPr>
        <a:xfrm>
          <a:off x="9082369" y="7579099"/>
          <a:ext cx="523875" cy="22355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14</xdr:col>
      <xdr:colOff>593912</xdr:colOff>
      <xdr:row>25</xdr:row>
      <xdr:rowOff>33618</xdr:rowOff>
    </xdr:from>
    <xdr:to>
      <xdr:col>15</xdr:col>
      <xdr:colOff>112059</xdr:colOff>
      <xdr:row>45</xdr:row>
      <xdr:rowOff>11207</xdr:rowOff>
    </xdr:to>
    <xdr:grpSp>
      <xdr:nvGrpSpPr>
        <xdr:cNvPr id="25" name="Gruppieren 24">
          <a:extLst>
            <a:ext uri="{FF2B5EF4-FFF2-40B4-BE49-F238E27FC236}">
              <a16:creationId xmlns:a16="http://schemas.microsoft.com/office/drawing/2014/main" id="{00000000-0008-0000-3F00-000019000000}"/>
            </a:ext>
          </a:extLst>
        </xdr:cNvPr>
        <xdr:cNvGrpSpPr/>
      </xdr:nvGrpSpPr>
      <xdr:grpSpPr>
        <a:xfrm>
          <a:off x="11093824" y="4359089"/>
          <a:ext cx="280147" cy="3204883"/>
          <a:chOff x="11473962" y="3498605"/>
          <a:chExt cx="234462" cy="3102220"/>
        </a:xfrm>
      </xdr:grpSpPr>
      <xdr:cxnSp macro="">
        <xdr:nvCxnSpPr>
          <xdr:cNvPr id="26" name="Gerade Verbindung mit Pfeil 25">
            <a:extLst>
              <a:ext uri="{FF2B5EF4-FFF2-40B4-BE49-F238E27FC236}">
                <a16:creationId xmlns:a16="http://schemas.microsoft.com/office/drawing/2014/main" id="{00000000-0008-0000-3F00-00001A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7" name="Textfeld 26">
            <a:extLst>
              <a:ext uri="{FF2B5EF4-FFF2-40B4-BE49-F238E27FC236}">
                <a16:creationId xmlns:a16="http://schemas.microsoft.com/office/drawing/2014/main" id="{00000000-0008-0000-3F00-00001B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8" name="Rechteck 27">
            <a:extLst>
              <a:ext uri="{FF2B5EF4-FFF2-40B4-BE49-F238E27FC236}">
                <a16:creationId xmlns:a16="http://schemas.microsoft.com/office/drawing/2014/main" id="{00000000-0008-0000-3F00-00001C000000}"/>
              </a:ext>
            </a:extLst>
          </xdr:cNvPr>
          <xdr:cNvSpPr/>
        </xdr:nvSpPr>
        <xdr:spPr>
          <a:xfrm>
            <a:off x="11503270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12</xdr:col>
      <xdr:colOff>176893</xdr:colOff>
      <xdr:row>26</xdr:row>
      <xdr:rowOff>176892</xdr:rowOff>
    </xdr:from>
    <xdr:to>
      <xdr:col>13</xdr:col>
      <xdr:colOff>81643</xdr:colOff>
      <xdr:row>38</xdr:row>
      <xdr:rowOff>13607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CxnSpPr/>
      </xdr:nvCxnSpPr>
      <xdr:spPr>
        <a:xfrm flipH="1" flipV="1">
          <a:off x="9157607" y="4612821"/>
          <a:ext cx="666750" cy="18913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22411</xdr:colOff>
      <xdr:row>34</xdr:row>
      <xdr:rowOff>134471</xdr:rowOff>
    </xdr:from>
    <xdr:to>
      <xdr:col>22</xdr:col>
      <xdr:colOff>694764</xdr:colOff>
      <xdr:row>44</xdr:row>
      <xdr:rowOff>105131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4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49" t="72167"/>
        <a:stretch/>
      </xdr:blipFill>
      <xdr:spPr>
        <a:xfrm>
          <a:off x="7394761" y="6440021"/>
          <a:ext cx="9149603" cy="1875660"/>
        </a:xfrm>
        <a:prstGeom prst="rect">
          <a:avLst/>
        </a:prstGeom>
      </xdr:spPr>
    </xdr:pic>
    <xdr:clientData/>
  </xdr:twoCellAnchor>
  <xdr:twoCellAnchor editAs="oneCell">
    <xdr:from>
      <xdr:col>9</xdr:col>
      <xdr:colOff>6724</xdr:colOff>
      <xdr:row>4</xdr:row>
      <xdr:rowOff>163607</xdr:rowOff>
    </xdr:from>
    <xdr:to>
      <xdr:col>22</xdr:col>
      <xdr:colOff>679077</xdr:colOff>
      <xdr:row>23</xdr:row>
      <xdr:rowOff>11206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49" b="51711"/>
        <a:stretch/>
      </xdr:blipFill>
      <xdr:spPr>
        <a:xfrm>
          <a:off x="7379074" y="973232"/>
          <a:ext cx="9149603" cy="3248024"/>
        </a:xfrm>
        <a:prstGeom prst="rect">
          <a:avLst/>
        </a:prstGeom>
      </xdr:spPr>
    </xdr:pic>
    <xdr:clientData/>
  </xdr:twoCellAnchor>
  <xdr:twoCellAnchor editAs="oneCell">
    <xdr:from>
      <xdr:col>9</xdr:col>
      <xdr:colOff>17928</xdr:colOff>
      <xdr:row>25</xdr:row>
      <xdr:rowOff>78441</xdr:rowOff>
    </xdr:from>
    <xdr:to>
      <xdr:col>22</xdr:col>
      <xdr:colOff>690281</xdr:colOff>
      <xdr:row>34</xdr:row>
      <xdr:rowOff>33617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49" t="47790" b="27434"/>
        <a:stretch/>
      </xdr:blipFill>
      <xdr:spPr>
        <a:xfrm>
          <a:off x="7390278" y="4669491"/>
          <a:ext cx="9149603" cy="1669676"/>
        </a:xfrm>
        <a:prstGeom prst="rect">
          <a:avLst/>
        </a:prstGeom>
      </xdr:spPr>
    </xdr:pic>
    <xdr:clientData/>
  </xdr:twoCellAnchor>
  <xdr:twoCellAnchor editAs="oneCell">
    <xdr:from>
      <xdr:col>1</xdr:col>
      <xdr:colOff>1692088</xdr:colOff>
      <xdr:row>49</xdr:row>
      <xdr:rowOff>112058</xdr:rowOff>
    </xdr:from>
    <xdr:to>
      <xdr:col>4</xdr:col>
      <xdr:colOff>459441</xdr:colOff>
      <xdr:row>60</xdr:row>
      <xdr:rowOff>71042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1638" y="9160808"/>
          <a:ext cx="2291603" cy="1942425"/>
        </a:xfrm>
        <a:prstGeom prst="rect">
          <a:avLst/>
        </a:prstGeom>
      </xdr:spPr>
    </xdr:pic>
    <xdr:clientData/>
  </xdr:twoCellAnchor>
  <xdr:twoCellAnchor>
    <xdr:from>
      <xdr:col>8</xdr:col>
      <xdr:colOff>42022</xdr:colOff>
      <xdr:row>15</xdr:row>
      <xdr:rowOff>67236</xdr:rowOff>
    </xdr:from>
    <xdr:to>
      <xdr:col>9</xdr:col>
      <xdr:colOff>149039</xdr:colOff>
      <xdr:row>17</xdr:row>
      <xdr:rowOff>186541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109572" y="2753286"/>
          <a:ext cx="411817" cy="5003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2</xdr:col>
      <xdr:colOff>11207</xdr:colOff>
      <xdr:row>3</xdr:row>
      <xdr:rowOff>44823</xdr:rowOff>
    </xdr:from>
    <xdr:to>
      <xdr:col>5</xdr:col>
      <xdr:colOff>829237</xdr:colOff>
      <xdr:row>43</xdr:row>
      <xdr:rowOff>67235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GrpSpPr/>
      </xdr:nvGrpSpPr>
      <xdr:grpSpPr>
        <a:xfrm>
          <a:off x="2079493" y="670752"/>
          <a:ext cx="3240101" cy="7438304"/>
          <a:chOff x="10829925" y="1733550"/>
          <a:chExt cx="2200750" cy="5849289"/>
        </a:xfrm>
      </xdr:grpSpPr>
      <xdr:pic>
        <xdr:nvPicPr>
          <xdr:cNvPr id="16" name="Grafik 15">
            <a:extLst>
              <a:ext uri="{FF2B5EF4-FFF2-40B4-BE49-F238E27FC236}">
                <a16:creationId xmlns:a16="http://schemas.microsoft.com/office/drawing/2014/main" id="{00000000-0008-0000-4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17" name="Rechteck 16">
            <a:extLst>
              <a:ext uri="{FF2B5EF4-FFF2-40B4-BE49-F238E27FC236}">
                <a16:creationId xmlns:a16="http://schemas.microsoft.com/office/drawing/2014/main" id="{00000000-0008-0000-4000-000011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19</xdr:col>
      <xdr:colOff>669151</xdr:colOff>
      <xdr:row>66</xdr:row>
      <xdr:rowOff>112859</xdr:rowOff>
    </xdr:from>
    <xdr:to>
      <xdr:col>22</xdr:col>
      <xdr:colOff>547386</xdr:colOff>
      <xdr:row>73</xdr:row>
      <xdr:rowOff>55710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8947" t="17250"/>
        <a:stretch/>
      </xdr:blipFill>
      <xdr:spPr>
        <a:xfrm>
          <a:off x="14235472" y="12209609"/>
          <a:ext cx="2164235" cy="1276351"/>
        </a:xfrm>
        <a:prstGeom prst="rect">
          <a:avLst/>
        </a:prstGeom>
      </xdr:spPr>
    </xdr:pic>
    <xdr:clientData/>
  </xdr:twoCellAnchor>
  <xdr:twoCellAnchor editAs="oneCell">
    <xdr:from>
      <xdr:col>6</xdr:col>
      <xdr:colOff>517071</xdr:colOff>
      <xdr:row>64</xdr:row>
      <xdr:rowOff>136072</xdr:rowOff>
    </xdr:from>
    <xdr:to>
      <xdr:col>16</xdr:col>
      <xdr:colOff>590005</xdr:colOff>
      <xdr:row>69</xdr:row>
      <xdr:rowOff>160926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33999"/>
        <a:stretch/>
      </xdr:blipFill>
      <xdr:spPr>
        <a:xfrm>
          <a:off x="6055178" y="11851822"/>
          <a:ext cx="5760720" cy="977354"/>
        </a:xfrm>
        <a:prstGeom prst="rect">
          <a:avLst/>
        </a:prstGeom>
      </xdr:spPr>
    </xdr:pic>
    <xdr:clientData/>
  </xdr:twoCellAnchor>
  <xdr:twoCellAnchor editAs="oneCell">
    <xdr:from>
      <xdr:col>18</xdr:col>
      <xdr:colOff>13608</xdr:colOff>
      <xdr:row>53</xdr:row>
      <xdr:rowOff>54427</xdr:rowOff>
    </xdr:from>
    <xdr:to>
      <xdr:col>21</xdr:col>
      <xdr:colOff>122466</xdr:colOff>
      <xdr:row>64</xdr:row>
      <xdr:rowOff>18453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4000-00001700000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817929" y="9783534"/>
          <a:ext cx="2394858" cy="1950669"/>
        </a:xfrm>
        <a:prstGeom prst="rect">
          <a:avLst/>
        </a:prstGeom>
      </xdr:spPr>
    </xdr:pic>
    <xdr:clientData/>
  </xdr:twoCellAnchor>
  <xdr:twoCellAnchor>
    <xdr:from>
      <xdr:col>6</xdr:col>
      <xdr:colOff>557893</xdr:colOff>
      <xdr:row>51</xdr:row>
      <xdr:rowOff>144668</xdr:rowOff>
    </xdr:from>
    <xdr:to>
      <xdr:col>15</xdr:col>
      <xdr:colOff>299357</xdr:colOff>
      <xdr:row>60</xdr:row>
      <xdr:rowOff>119532</xdr:rowOff>
    </xdr:to>
    <xdr:grpSp>
      <xdr:nvGrpSpPr>
        <xdr:cNvPr id="19" name="Gruppieren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GrpSpPr/>
      </xdr:nvGrpSpPr>
      <xdr:grpSpPr>
        <a:xfrm>
          <a:off x="6096000" y="9492775"/>
          <a:ext cx="4667250" cy="1689364"/>
          <a:chOff x="6627727" y="9971941"/>
          <a:chExt cx="4802273" cy="1730621"/>
        </a:xfrm>
      </xdr:grpSpPr>
      <xdr:pic>
        <xdr:nvPicPr>
          <xdr:cNvPr id="20" name="Grafik 19">
            <a:extLst>
              <a:ext uri="{FF2B5EF4-FFF2-40B4-BE49-F238E27FC236}">
                <a16:creationId xmlns:a16="http://schemas.microsoft.com/office/drawing/2014/main" id="{00000000-0008-0000-4000-00001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00000000-0008-0000-4000-000016000000}"/>
              </a:ext>
            </a:extLst>
          </xdr:cNvPr>
          <xdr:cNvSpPr/>
        </xdr:nvSpPr>
        <xdr:spPr>
          <a:xfrm>
            <a:off x="8943425" y="9990112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212912</xdr:colOff>
      <xdr:row>22</xdr:row>
      <xdr:rowOff>100853</xdr:rowOff>
    </xdr:from>
    <xdr:to>
      <xdr:col>13</xdr:col>
      <xdr:colOff>261657</xdr:colOff>
      <xdr:row>34</xdr:row>
      <xdr:rowOff>32198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4100-00001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b="945"/>
        <a:stretch/>
      </xdr:blipFill>
      <xdr:spPr bwMode="auto">
        <a:xfrm>
          <a:off x="7821706" y="3776382"/>
          <a:ext cx="1819275" cy="17691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14</xdr:col>
      <xdr:colOff>647700</xdr:colOff>
      <xdr:row>9</xdr:row>
      <xdr:rowOff>57150</xdr:rowOff>
    </xdr:from>
    <xdr:to>
      <xdr:col>17</xdr:col>
      <xdr:colOff>562450</xdr:colOff>
      <xdr:row>48</xdr:row>
      <xdr:rowOff>36798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4100-000014000000}"/>
            </a:ext>
          </a:extLst>
        </xdr:cNvPr>
        <xdr:cNvGrpSpPr/>
      </xdr:nvGrpSpPr>
      <xdr:grpSpPr>
        <a:xfrm>
          <a:off x="10789024" y="1816474"/>
          <a:ext cx="2200750" cy="5918765"/>
          <a:chOff x="10829925" y="1733550"/>
          <a:chExt cx="2200750" cy="5849289"/>
        </a:xfrm>
      </xdr:grpSpPr>
      <xdr:pic>
        <xdr:nvPicPr>
          <xdr:cNvPr id="21" name="Grafik 20">
            <a:extLst>
              <a:ext uri="{FF2B5EF4-FFF2-40B4-BE49-F238E27FC236}">
                <a16:creationId xmlns:a16="http://schemas.microsoft.com/office/drawing/2014/main" id="{00000000-0008-0000-41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00000000-0008-0000-4100-000016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47625</xdr:colOff>
      <xdr:row>2</xdr:row>
      <xdr:rowOff>38100</xdr:rowOff>
    </xdr:from>
    <xdr:to>
      <xdr:col>3</xdr:col>
      <xdr:colOff>428625</xdr:colOff>
      <xdr:row>4</xdr:row>
      <xdr:rowOff>187568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09625" y="419100"/>
          <a:ext cx="2308412" cy="530468"/>
          <a:chOff x="781050" y="409575"/>
          <a:chExt cx="2305050" cy="530468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114300</xdr:colOff>
      <xdr:row>9</xdr:row>
      <xdr:rowOff>66675</xdr:rowOff>
    </xdr:from>
    <xdr:to>
      <xdr:col>14</xdr:col>
      <xdr:colOff>409574</xdr:colOff>
      <xdr:row>19</xdr:row>
      <xdr:rowOff>67906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62775" y="1828800"/>
          <a:ext cx="3590924" cy="1336972"/>
        </a:xfrm>
        <a:prstGeom prst="rect">
          <a:avLst/>
        </a:prstGeom>
      </xdr:spPr>
    </xdr:pic>
    <xdr:clientData/>
  </xdr:twoCellAnchor>
  <xdr:twoCellAnchor>
    <xdr:from>
      <xdr:col>12</xdr:col>
      <xdr:colOff>180145</xdr:colOff>
      <xdr:row>10</xdr:row>
      <xdr:rowOff>78683</xdr:rowOff>
    </xdr:from>
    <xdr:to>
      <xdr:col>12</xdr:col>
      <xdr:colOff>704020</xdr:colOff>
      <xdr:row>12</xdr:row>
      <xdr:rowOff>11206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4100-000006000000}"/>
            </a:ext>
          </a:extLst>
        </xdr:cNvPr>
        <xdr:cNvSpPr/>
      </xdr:nvSpPr>
      <xdr:spPr>
        <a:xfrm>
          <a:off x="8797469" y="1916448"/>
          <a:ext cx="523875" cy="2014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351911</xdr:colOff>
      <xdr:row>22</xdr:row>
      <xdr:rowOff>76199</xdr:rowOff>
    </xdr:from>
    <xdr:to>
      <xdr:col>12</xdr:col>
      <xdr:colOff>751961</xdr:colOff>
      <xdr:row>23</xdr:row>
      <xdr:rowOff>28574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 flipV="1">
          <a:off x="8972036" y="3476624"/>
          <a:ext cx="400050" cy="1428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13</xdr:col>
      <xdr:colOff>17878</xdr:colOff>
      <xdr:row>22</xdr:row>
      <xdr:rowOff>76199</xdr:rowOff>
    </xdr:from>
    <xdr:to>
      <xdr:col>13</xdr:col>
      <xdr:colOff>289034</xdr:colOff>
      <xdr:row>26</xdr:row>
      <xdr:rowOff>151086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SpPr/>
      </xdr:nvSpPr>
      <xdr:spPr>
        <a:xfrm>
          <a:off x="9404930" y="3754820"/>
          <a:ext cx="271156" cy="61354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114300</xdr:colOff>
      <xdr:row>16</xdr:row>
      <xdr:rowOff>38100</xdr:rowOff>
    </xdr:from>
    <xdr:to>
      <xdr:col>12</xdr:col>
      <xdr:colOff>152400</xdr:colOff>
      <xdr:row>22</xdr:row>
      <xdr:rowOff>152400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CxnSpPr/>
      </xdr:nvCxnSpPr>
      <xdr:spPr>
        <a:xfrm flipH="1" flipV="1">
          <a:off x="7972425" y="2409825"/>
          <a:ext cx="800100" cy="1143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257175</xdr:colOff>
      <xdr:row>36</xdr:row>
      <xdr:rowOff>190499</xdr:rowOff>
    </xdr:from>
    <xdr:to>
      <xdr:col>13</xdr:col>
      <xdr:colOff>426834</xdr:colOff>
      <xdr:row>44</xdr:row>
      <xdr:rowOff>9524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15300" y="5876924"/>
          <a:ext cx="1693659" cy="1000125"/>
        </a:xfrm>
        <a:prstGeom prst="rect">
          <a:avLst/>
        </a:prstGeom>
      </xdr:spPr>
    </xdr:pic>
    <xdr:clientData/>
  </xdr:twoCellAnchor>
  <xdr:twoCellAnchor>
    <xdr:from>
      <xdr:col>12</xdr:col>
      <xdr:colOff>685800</xdr:colOff>
      <xdr:row>41</xdr:row>
      <xdr:rowOff>114299</xdr:rowOff>
    </xdr:from>
    <xdr:to>
      <xdr:col>13</xdr:col>
      <xdr:colOff>390526</xdr:colOff>
      <xdr:row>42</xdr:row>
      <xdr:rowOff>161924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9305925" y="6524624"/>
          <a:ext cx="466726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14</xdr:col>
      <xdr:colOff>576582</xdr:colOff>
      <xdr:row>26</xdr:row>
      <xdr:rowOff>1121</xdr:rowOff>
    </xdr:from>
    <xdr:to>
      <xdr:col>15</xdr:col>
      <xdr:colOff>145714</xdr:colOff>
      <xdr:row>44</xdr:row>
      <xdr:rowOff>179294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00000000-0008-0000-4100-000018000000}"/>
            </a:ext>
          </a:extLst>
        </xdr:cNvPr>
        <xdr:cNvGrpSpPr/>
      </xdr:nvGrpSpPr>
      <xdr:grpSpPr>
        <a:xfrm>
          <a:off x="10717906" y="4214533"/>
          <a:ext cx="331132" cy="3125320"/>
          <a:chOff x="11471152" y="3498605"/>
          <a:chExt cx="237271" cy="3102220"/>
        </a:xfrm>
      </xdr:grpSpPr>
      <xdr:cxnSp macro="">
        <xdr:nvCxnSpPr>
          <xdr:cNvPr id="25" name="Gerade Verbindung mit Pfeil 24">
            <a:extLst>
              <a:ext uri="{FF2B5EF4-FFF2-40B4-BE49-F238E27FC236}">
                <a16:creationId xmlns:a16="http://schemas.microsoft.com/office/drawing/2014/main" id="{00000000-0008-0000-4100-000019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6" name="Textfeld 25">
            <a:extLst>
              <a:ext uri="{FF2B5EF4-FFF2-40B4-BE49-F238E27FC236}">
                <a16:creationId xmlns:a16="http://schemas.microsoft.com/office/drawing/2014/main" id="{00000000-0008-0000-4100-00001A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7" name="Rechteck 26">
            <a:extLst>
              <a:ext uri="{FF2B5EF4-FFF2-40B4-BE49-F238E27FC236}">
                <a16:creationId xmlns:a16="http://schemas.microsoft.com/office/drawing/2014/main" id="{00000000-0008-0000-4100-00001B000000}"/>
              </a:ext>
            </a:extLst>
          </xdr:cNvPr>
          <xdr:cNvSpPr/>
        </xdr:nvSpPr>
        <xdr:spPr>
          <a:xfrm>
            <a:off x="11471152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12</xdr:col>
      <xdr:colOff>342005</xdr:colOff>
      <xdr:row>28</xdr:row>
      <xdr:rowOff>100853</xdr:rowOff>
    </xdr:from>
    <xdr:to>
      <xdr:col>12</xdr:col>
      <xdr:colOff>437029</xdr:colOff>
      <xdr:row>36</xdr:row>
      <xdr:rowOff>190499</xdr:rowOff>
    </xdr:to>
    <xdr:cxnSp macro="">
      <xdr:nvCxnSpPr>
        <xdr:cNvPr id="28" name="Gerade Verbindung mit Pfeil 27">
          <a:extLst>
            <a:ext uri="{FF2B5EF4-FFF2-40B4-BE49-F238E27FC236}">
              <a16:creationId xmlns:a16="http://schemas.microsoft.com/office/drawing/2014/main" id="{00000000-0008-0000-4100-00001C000000}"/>
            </a:ext>
          </a:extLst>
        </xdr:cNvPr>
        <xdr:cNvCxnSpPr>
          <a:stCxn id="18" idx="0"/>
        </xdr:cNvCxnSpPr>
      </xdr:nvCxnSpPr>
      <xdr:spPr>
        <a:xfrm flipV="1">
          <a:off x="8959329" y="4583206"/>
          <a:ext cx="95024" cy="15800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2</xdr:col>
      <xdr:colOff>515471</xdr:colOff>
      <xdr:row>49</xdr:row>
      <xdr:rowOff>168088</xdr:rowOff>
    </xdr:from>
    <xdr:to>
      <xdr:col>5</xdr:col>
      <xdr:colOff>392206</xdr:colOff>
      <xdr:row>60</xdr:row>
      <xdr:rowOff>127072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4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1921" y="9216838"/>
          <a:ext cx="2296085" cy="1942425"/>
        </a:xfrm>
        <a:prstGeom prst="rect">
          <a:avLst/>
        </a:prstGeom>
      </xdr:spPr>
    </xdr:pic>
    <xdr:clientData/>
  </xdr:twoCellAnchor>
  <xdr:twoCellAnchor>
    <xdr:from>
      <xdr:col>2</xdr:col>
      <xdr:colOff>224117</xdr:colOff>
      <xdr:row>3</xdr:row>
      <xdr:rowOff>33616</xdr:rowOff>
    </xdr:from>
    <xdr:to>
      <xdr:col>5</xdr:col>
      <xdr:colOff>504263</xdr:colOff>
      <xdr:row>45</xdr:row>
      <xdr:rowOff>11205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GrpSpPr/>
      </xdr:nvGrpSpPr>
      <xdr:grpSpPr>
        <a:xfrm>
          <a:off x="2292403" y="659545"/>
          <a:ext cx="2702217" cy="7774481"/>
          <a:chOff x="10829925" y="1733550"/>
          <a:chExt cx="2200750" cy="5849289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42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4200-000010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19</xdr:col>
      <xdr:colOff>742788</xdr:colOff>
      <xdr:row>68</xdr:row>
      <xdr:rowOff>41622</xdr:rowOff>
    </xdr:from>
    <xdr:to>
      <xdr:col>22</xdr:col>
      <xdr:colOff>496259</xdr:colOff>
      <xdr:row>75</xdr:row>
      <xdr:rowOff>51147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254681" y="12519372"/>
          <a:ext cx="2039471" cy="1343025"/>
        </a:xfrm>
        <a:prstGeom prst="rect">
          <a:avLst/>
        </a:prstGeom>
      </xdr:spPr>
    </xdr:pic>
    <xdr:clientData/>
  </xdr:twoCellAnchor>
  <xdr:twoCellAnchor editAs="oneCell">
    <xdr:from>
      <xdr:col>6</xdr:col>
      <xdr:colOff>421821</xdr:colOff>
      <xdr:row>66</xdr:row>
      <xdr:rowOff>149679</xdr:rowOff>
    </xdr:from>
    <xdr:to>
      <xdr:col>16</xdr:col>
      <xdr:colOff>612322</xdr:colOff>
      <xdr:row>72</xdr:row>
      <xdr:rowOff>54428</xdr:rowOff>
    </xdr:to>
    <xdr:pic>
      <xdr:nvPicPr>
        <xdr:cNvPr id="18" name="Grafik 17" descr="Ein Bild, das Tisch enthält.&#10;&#10;Automatisch generierte Beschreibung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t="35294"/>
        <a:stretch/>
      </xdr:blipFill>
      <xdr:spPr>
        <a:xfrm>
          <a:off x="5905500" y="12246429"/>
          <a:ext cx="5878286" cy="1047749"/>
        </a:xfrm>
        <a:prstGeom prst="rect">
          <a:avLst/>
        </a:prstGeom>
      </xdr:spPr>
    </xdr:pic>
    <xdr:clientData/>
  </xdr:twoCellAnchor>
  <xdr:twoCellAnchor editAs="oneCell">
    <xdr:from>
      <xdr:col>9</xdr:col>
      <xdr:colOff>40821</xdr:colOff>
      <xdr:row>3</xdr:row>
      <xdr:rowOff>176893</xdr:rowOff>
    </xdr:from>
    <xdr:to>
      <xdr:col>24</xdr:col>
      <xdr:colOff>234587</xdr:colOff>
      <xdr:row>20</xdr:row>
      <xdr:rowOff>9526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b="58367"/>
        <a:stretch/>
      </xdr:blipFill>
      <xdr:spPr bwMode="auto">
        <a:xfrm>
          <a:off x="7347857" y="802822"/>
          <a:ext cx="9745980" cy="2867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40821</xdr:colOff>
      <xdr:row>25</xdr:row>
      <xdr:rowOff>27216</xdr:rowOff>
    </xdr:from>
    <xdr:to>
      <xdr:col>24</xdr:col>
      <xdr:colOff>233317</xdr:colOff>
      <xdr:row>35</xdr:row>
      <xdr:rowOff>17691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41633" b="30839"/>
        <a:stretch/>
      </xdr:blipFill>
      <xdr:spPr bwMode="auto">
        <a:xfrm>
          <a:off x="7347857" y="4640037"/>
          <a:ext cx="9744710" cy="1895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40821</xdr:colOff>
      <xdr:row>35</xdr:row>
      <xdr:rowOff>176894</xdr:rowOff>
    </xdr:from>
    <xdr:to>
      <xdr:col>24</xdr:col>
      <xdr:colOff>234587</xdr:colOff>
      <xdr:row>46</xdr:row>
      <xdr:rowOff>157209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4200-00001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69849"/>
        <a:stretch/>
      </xdr:blipFill>
      <xdr:spPr bwMode="auto">
        <a:xfrm>
          <a:off x="7347857" y="6694715"/>
          <a:ext cx="9745980" cy="20758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81643</xdr:colOff>
      <xdr:row>53</xdr:row>
      <xdr:rowOff>68034</xdr:rowOff>
    </xdr:from>
    <xdr:to>
      <xdr:col>21</xdr:col>
      <xdr:colOff>27214</xdr:colOff>
      <xdr:row>65</xdr:row>
      <xdr:rowOff>60928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4200-000017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rcRect b="945"/>
        <a:stretch/>
      </xdr:blipFill>
      <xdr:spPr bwMode="auto">
        <a:xfrm>
          <a:off x="12831536" y="9797141"/>
          <a:ext cx="2231571" cy="21700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449035</xdr:colOff>
      <xdr:row>52</xdr:row>
      <xdr:rowOff>163287</xdr:rowOff>
    </xdr:from>
    <xdr:to>
      <xdr:col>16</xdr:col>
      <xdr:colOff>204107</xdr:colOff>
      <xdr:row>63</xdr:row>
      <xdr:rowOff>146747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00000000-0008-0000-4200-000018000000}"/>
            </a:ext>
          </a:extLst>
        </xdr:cNvPr>
        <xdr:cNvGrpSpPr/>
      </xdr:nvGrpSpPr>
      <xdr:grpSpPr>
        <a:xfrm>
          <a:off x="5932714" y="9701894"/>
          <a:ext cx="5442857" cy="1970103"/>
          <a:chOff x="6627727" y="9971941"/>
          <a:chExt cx="4802273" cy="1730621"/>
        </a:xfrm>
      </xdr:grpSpPr>
      <xdr:pic>
        <xdr:nvPicPr>
          <xdr:cNvPr id="25" name="Grafik 24">
            <a:extLst>
              <a:ext uri="{FF2B5EF4-FFF2-40B4-BE49-F238E27FC236}">
                <a16:creationId xmlns:a16="http://schemas.microsoft.com/office/drawing/2014/main" id="{00000000-0008-0000-4200-00001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26" name="Rechteck 25">
            <a:extLst>
              <a:ext uri="{FF2B5EF4-FFF2-40B4-BE49-F238E27FC236}">
                <a16:creationId xmlns:a16="http://schemas.microsoft.com/office/drawing/2014/main" id="{00000000-0008-0000-4200-00001A000000}"/>
              </a:ext>
            </a:extLst>
          </xdr:cNvPr>
          <xdr:cNvSpPr/>
        </xdr:nvSpPr>
        <xdr:spPr>
          <a:xfrm>
            <a:off x="8943425" y="10533750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134470</xdr:colOff>
      <xdr:row>23</xdr:row>
      <xdr:rowOff>291352</xdr:rowOff>
    </xdr:from>
    <xdr:to>
      <xdr:col>13</xdr:col>
      <xdr:colOff>716765</xdr:colOff>
      <xdr:row>34</xdr:row>
      <xdr:rowOff>179219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645"/>
        <a:stretch/>
      </xdr:blipFill>
      <xdr:spPr bwMode="auto">
        <a:xfrm>
          <a:off x="7989794" y="4045323"/>
          <a:ext cx="2106295" cy="18376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14</xdr:col>
      <xdr:colOff>600075</xdr:colOff>
      <xdr:row>9</xdr:row>
      <xdr:rowOff>19050</xdr:rowOff>
    </xdr:from>
    <xdr:to>
      <xdr:col>17</xdr:col>
      <xdr:colOff>514825</xdr:colOff>
      <xdr:row>47</xdr:row>
      <xdr:rowOff>74898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GrpSpPr/>
      </xdr:nvGrpSpPr>
      <xdr:grpSpPr>
        <a:xfrm>
          <a:off x="10741399" y="1778374"/>
          <a:ext cx="2200750" cy="6118230"/>
          <a:chOff x="10829925" y="1733550"/>
          <a:chExt cx="2200750" cy="5849289"/>
        </a:xfrm>
      </xdr:grpSpPr>
      <xdr:pic>
        <xdr:nvPicPr>
          <xdr:cNvPr id="17" name="Grafik 16">
            <a:extLst>
              <a:ext uri="{FF2B5EF4-FFF2-40B4-BE49-F238E27FC236}">
                <a16:creationId xmlns:a16="http://schemas.microsoft.com/office/drawing/2014/main" id="{00000000-0008-0000-4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18" name="Rechteck 17">
            <a:extLst>
              <a:ext uri="{FF2B5EF4-FFF2-40B4-BE49-F238E27FC236}">
                <a16:creationId xmlns:a16="http://schemas.microsoft.com/office/drawing/2014/main" id="{00000000-0008-0000-4300-000012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9</xdr:col>
      <xdr:colOff>190500</xdr:colOff>
      <xdr:row>8</xdr:row>
      <xdr:rowOff>38101</xdr:rowOff>
    </xdr:from>
    <xdr:to>
      <xdr:col>14</xdr:col>
      <xdr:colOff>552450</xdr:colOff>
      <xdr:row>18</xdr:row>
      <xdr:rowOff>141795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38975" y="1609726"/>
          <a:ext cx="3657600" cy="1437194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8</xdr:row>
      <xdr:rowOff>28575</xdr:rowOff>
    </xdr:from>
    <xdr:to>
      <xdr:col>13</xdr:col>
      <xdr:colOff>123825</xdr:colOff>
      <xdr:row>9</xdr:row>
      <xdr:rowOff>70757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/>
      </xdr:nvSpPr>
      <xdr:spPr>
        <a:xfrm>
          <a:off x="8982075" y="16002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171450</xdr:colOff>
      <xdr:row>15</xdr:row>
      <xdr:rowOff>38100</xdr:rowOff>
    </xdr:from>
    <xdr:to>
      <xdr:col>11</xdr:col>
      <xdr:colOff>638175</xdr:colOff>
      <xdr:row>23</xdr:row>
      <xdr:rowOff>57150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CxnSpPr/>
      </xdr:nvCxnSpPr>
      <xdr:spPr>
        <a:xfrm flipH="1" flipV="1">
          <a:off x="8029575" y="2333625"/>
          <a:ext cx="466725" cy="1200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68647</xdr:colOff>
      <xdr:row>23</xdr:row>
      <xdr:rowOff>251263</xdr:rowOff>
    </xdr:from>
    <xdr:to>
      <xdr:col>12</xdr:col>
      <xdr:colOff>468697</xdr:colOff>
      <xdr:row>24</xdr:row>
      <xdr:rowOff>60763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00000000-0008-0000-4300-000006000000}"/>
            </a:ext>
          </a:extLst>
        </xdr:cNvPr>
        <xdr:cNvSpPr/>
      </xdr:nvSpPr>
      <xdr:spPr>
        <a:xfrm>
          <a:off x="8688772" y="3727888"/>
          <a:ext cx="4000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114859</xdr:colOff>
      <xdr:row>23</xdr:row>
      <xdr:rowOff>238125</xdr:rowOff>
    </xdr:from>
    <xdr:to>
      <xdr:col>11</xdr:col>
      <xdr:colOff>448235</xdr:colOff>
      <xdr:row>28</xdr:row>
      <xdr:rowOff>76200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SpPr/>
      </xdr:nvSpPr>
      <xdr:spPr>
        <a:xfrm>
          <a:off x="7970183" y="3992096"/>
          <a:ext cx="333376" cy="75695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590550</xdr:colOff>
      <xdr:row>14</xdr:row>
      <xdr:rowOff>168646</xdr:rowOff>
    </xdr:from>
    <xdr:to>
      <xdr:col>11</xdr:col>
      <xdr:colOff>134470</xdr:colOff>
      <xdr:row>16</xdr:row>
      <xdr:rowOff>145677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437344" y="2544293"/>
          <a:ext cx="552450" cy="24597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28575</xdr:colOff>
      <xdr:row>2</xdr:row>
      <xdr:rowOff>28575</xdr:rowOff>
    </xdr:from>
    <xdr:to>
      <xdr:col>3</xdr:col>
      <xdr:colOff>409575</xdr:colOff>
      <xdr:row>4</xdr:row>
      <xdr:rowOff>178043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GrpSpPr/>
      </xdr:nvGrpSpPr>
      <xdr:grpSpPr>
        <a:xfrm>
          <a:off x="790575" y="409575"/>
          <a:ext cx="2308412" cy="530468"/>
          <a:chOff x="781050" y="409575"/>
          <a:chExt cx="2305050" cy="530468"/>
        </a:xfrm>
      </xdr:grpSpPr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43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81050" y="676274"/>
            <a:ext cx="2262859" cy="263769"/>
          </a:xfrm>
          <a:prstGeom prst="rect">
            <a:avLst/>
          </a:prstGeom>
        </xdr:spPr>
      </xdr:pic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4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81050" y="409575"/>
            <a:ext cx="2305050" cy="259724"/>
          </a:xfrm>
          <a:prstGeom prst="rect">
            <a:avLst/>
          </a:prstGeom>
        </xdr:spPr>
      </xdr:pic>
    </xdr:grpSp>
    <xdr:clientData/>
  </xdr:twoCellAnchor>
  <xdr:twoCellAnchor editAs="oneCell">
    <xdr:from>
      <xdr:col>11</xdr:col>
      <xdr:colOff>333375</xdr:colOff>
      <xdr:row>38</xdr:row>
      <xdr:rowOff>180975</xdr:rowOff>
    </xdr:from>
    <xdr:to>
      <xdr:col>13</xdr:col>
      <xdr:colOff>503034</xdr:colOff>
      <xdr:row>46</xdr:row>
      <xdr:rowOff>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91500" y="6334125"/>
          <a:ext cx="1693659" cy="1000125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43</xdr:row>
      <xdr:rowOff>104775</xdr:rowOff>
    </xdr:from>
    <xdr:to>
      <xdr:col>13</xdr:col>
      <xdr:colOff>466726</xdr:colOff>
      <xdr:row>44</xdr:row>
      <xdr:rowOff>152400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9382125" y="6981825"/>
          <a:ext cx="466726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14</xdr:col>
      <xdr:colOff>454398</xdr:colOff>
      <xdr:row>24</xdr:row>
      <xdr:rowOff>187138</xdr:rowOff>
    </xdr:from>
    <xdr:to>
      <xdr:col>15</xdr:col>
      <xdr:colOff>23530</xdr:colOff>
      <xdr:row>44</xdr:row>
      <xdr:rowOff>85164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GrpSpPr/>
      </xdr:nvGrpSpPr>
      <xdr:grpSpPr>
        <a:xfrm>
          <a:off x="10595722" y="4322109"/>
          <a:ext cx="331132" cy="3125320"/>
          <a:chOff x="11471152" y="3498605"/>
          <a:chExt cx="237271" cy="3102220"/>
        </a:xfrm>
      </xdr:grpSpPr>
      <xdr:cxnSp macro="">
        <xdr:nvCxnSpPr>
          <xdr:cNvPr id="22" name="Gerade Verbindung mit Pfeil 21">
            <a:extLst>
              <a:ext uri="{FF2B5EF4-FFF2-40B4-BE49-F238E27FC236}">
                <a16:creationId xmlns:a16="http://schemas.microsoft.com/office/drawing/2014/main" id="{00000000-0008-0000-4300-000016000000}"/>
              </a:ext>
            </a:extLst>
          </xdr:cNvPr>
          <xdr:cNvCxnSpPr/>
        </xdr:nvCxnSpPr>
        <xdr:spPr>
          <a:xfrm>
            <a:off x="11657134" y="3498605"/>
            <a:ext cx="14654" cy="310222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" name="Textfeld 22">
            <a:extLst>
              <a:ext uri="{FF2B5EF4-FFF2-40B4-BE49-F238E27FC236}">
                <a16:creationId xmlns:a16="http://schemas.microsoft.com/office/drawing/2014/main" id="{00000000-0008-0000-4300-000017000000}"/>
              </a:ext>
            </a:extLst>
          </xdr:cNvPr>
          <xdr:cNvSpPr txBox="1"/>
        </xdr:nvSpPr>
        <xdr:spPr>
          <a:xfrm rot="16200000">
            <a:off x="11349404" y="4845295"/>
            <a:ext cx="483577" cy="234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800"/>
              <a:t>LMH</a:t>
            </a:r>
          </a:p>
        </xdr:txBody>
      </xdr:sp>
      <xdr:sp macro="" textlink="">
        <xdr:nvSpPr>
          <xdr:cNvPr id="24" name="Rechteck 23">
            <a:extLst>
              <a:ext uri="{FF2B5EF4-FFF2-40B4-BE49-F238E27FC236}">
                <a16:creationId xmlns:a16="http://schemas.microsoft.com/office/drawing/2014/main" id="{00000000-0008-0000-4300-000018000000}"/>
              </a:ext>
            </a:extLst>
          </xdr:cNvPr>
          <xdr:cNvSpPr/>
        </xdr:nvSpPr>
        <xdr:spPr>
          <a:xfrm>
            <a:off x="11471152" y="4867275"/>
            <a:ext cx="205154" cy="3077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48</xdr:row>
      <xdr:rowOff>58832</xdr:rowOff>
    </xdr:from>
    <xdr:to>
      <xdr:col>6</xdr:col>
      <xdr:colOff>749646</xdr:colOff>
      <xdr:row>60</xdr:row>
      <xdr:rowOff>184804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9034744"/>
          <a:ext cx="3820058" cy="218785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408212</xdr:colOff>
      <xdr:row>65</xdr:row>
      <xdr:rowOff>95249</xdr:rowOff>
    </xdr:from>
    <xdr:to>
      <xdr:col>17</xdr:col>
      <xdr:colOff>376195</xdr:colOff>
      <xdr:row>70</xdr:row>
      <xdr:rowOff>145785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33207"/>
        <a:stretch/>
      </xdr:blipFill>
      <xdr:spPr>
        <a:xfrm>
          <a:off x="6313712" y="11892642"/>
          <a:ext cx="5655769" cy="1003036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27213</xdr:rowOff>
    </xdr:from>
    <xdr:to>
      <xdr:col>5</xdr:col>
      <xdr:colOff>280146</xdr:colOff>
      <xdr:row>45</xdr:row>
      <xdr:rowOff>4802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GrpSpPr/>
      </xdr:nvGrpSpPr>
      <xdr:grpSpPr>
        <a:xfrm>
          <a:off x="2068286" y="653142"/>
          <a:ext cx="2702217" cy="7774481"/>
          <a:chOff x="10829925" y="1733550"/>
          <a:chExt cx="2200750" cy="5849289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44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0944225" y="1828800"/>
            <a:ext cx="2086450" cy="5754039"/>
          </a:xfrm>
          <a:prstGeom prst="rect">
            <a:avLst/>
          </a:prstGeom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4400-000010000000}"/>
              </a:ext>
            </a:extLst>
          </xdr:cNvPr>
          <xdr:cNvSpPr/>
        </xdr:nvSpPr>
        <xdr:spPr>
          <a:xfrm>
            <a:off x="10829925" y="1733550"/>
            <a:ext cx="476250" cy="3619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 editAs="oneCell">
    <xdr:from>
      <xdr:col>20</xdr:col>
      <xdr:colOff>13608</xdr:colOff>
      <xdr:row>68</xdr:row>
      <xdr:rowOff>122464</xdr:rowOff>
    </xdr:from>
    <xdr:to>
      <xdr:col>22</xdr:col>
      <xdr:colOff>529079</xdr:colOff>
      <xdr:row>75</xdr:row>
      <xdr:rowOff>131989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947322" y="12491357"/>
          <a:ext cx="2039471" cy="1343025"/>
        </a:xfrm>
        <a:prstGeom prst="rect">
          <a:avLst/>
        </a:prstGeom>
      </xdr:spPr>
    </xdr:pic>
    <xdr:clientData/>
  </xdr:twoCellAnchor>
  <xdr:twoCellAnchor editAs="oneCell">
    <xdr:from>
      <xdr:col>18</xdr:col>
      <xdr:colOff>435429</xdr:colOff>
      <xdr:row>53</xdr:row>
      <xdr:rowOff>108858</xdr:rowOff>
    </xdr:from>
    <xdr:to>
      <xdr:col>21</xdr:col>
      <xdr:colOff>421822</xdr:colOff>
      <xdr:row>65</xdr:row>
      <xdr:rowOff>23178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rcRect t="645"/>
        <a:stretch/>
      </xdr:blipFill>
      <xdr:spPr bwMode="auto">
        <a:xfrm>
          <a:off x="12845143" y="9837965"/>
          <a:ext cx="2272393" cy="19826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381000</xdr:colOff>
      <xdr:row>51</xdr:row>
      <xdr:rowOff>149679</xdr:rowOff>
    </xdr:from>
    <xdr:to>
      <xdr:col>16</xdr:col>
      <xdr:colOff>122464</xdr:colOff>
      <xdr:row>60</xdr:row>
      <xdr:rowOff>124543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GrpSpPr/>
      </xdr:nvGrpSpPr>
      <xdr:grpSpPr>
        <a:xfrm>
          <a:off x="6286500" y="9497786"/>
          <a:ext cx="4667250" cy="1689364"/>
          <a:chOff x="6627727" y="9971941"/>
          <a:chExt cx="4802273" cy="1730621"/>
        </a:xfrm>
      </xdr:grpSpPr>
      <xdr:pic>
        <xdr:nvPicPr>
          <xdr:cNvPr id="21" name="Grafik 20">
            <a:extLst>
              <a:ext uri="{FF2B5EF4-FFF2-40B4-BE49-F238E27FC236}">
                <a16:creationId xmlns:a16="http://schemas.microsoft.com/office/drawing/2014/main" id="{00000000-0008-0000-44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l="4161" t="46836" r="78533" b="30929"/>
          <a:stretch/>
        </xdr:blipFill>
        <xdr:spPr>
          <a:xfrm>
            <a:off x="6627727" y="9971941"/>
            <a:ext cx="4802273" cy="1730621"/>
          </a:xfrm>
          <a:prstGeom prst="rect">
            <a:avLst/>
          </a:prstGeom>
        </xdr:spPr>
      </xdr:pic>
      <xdr:sp macro="" textlink="">
        <xdr:nvSpPr>
          <xdr:cNvPr id="22" name="Rechteck 21">
            <a:extLst>
              <a:ext uri="{FF2B5EF4-FFF2-40B4-BE49-F238E27FC236}">
                <a16:creationId xmlns:a16="http://schemas.microsoft.com/office/drawing/2014/main" id="{00000000-0008-0000-4400-000016000000}"/>
              </a:ext>
            </a:extLst>
          </xdr:cNvPr>
          <xdr:cNvSpPr/>
        </xdr:nvSpPr>
        <xdr:spPr>
          <a:xfrm>
            <a:off x="8943425" y="9990112"/>
            <a:ext cx="2408870" cy="52865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 editAs="oneCell">
    <xdr:from>
      <xdr:col>9</xdr:col>
      <xdr:colOff>27215</xdr:colOff>
      <xdr:row>3</xdr:row>
      <xdr:rowOff>81643</xdr:rowOff>
    </xdr:from>
    <xdr:to>
      <xdr:col>24</xdr:col>
      <xdr:colOff>219711</xdr:colOff>
      <xdr:row>18</xdr:row>
      <xdr:rowOff>171451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rcRect b="58781"/>
        <a:stretch/>
      </xdr:blipFill>
      <xdr:spPr bwMode="auto">
        <a:xfrm>
          <a:off x="6994072" y="707572"/>
          <a:ext cx="9744710" cy="2743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27215</xdr:colOff>
      <xdr:row>25</xdr:row>
      <xdr:rowOff>27215</xdr:rowOff>
    </xdr:from>
    <xdr:to>
      <xdr:col>24</xdr:col>
      <xdr:colOff>218441</xdr:colOff>
      <xdr:row>34</xdr:row>
      <xdr:rowOff>179615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rcRect t="41076" b="30870"/>
        <a:stretch/>
      </xdr:blipFill>
      <xdr:spPr bwMode="auto">
        <a:xfrm>
          <a:off x="6994072" y="4640036"/>
          <a:ext cx="9743440" cy="1866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27215</xdr:colOff>
      <xdr:row>35</xdr:row>
      <xdr:rowOff>176894</xdr:rowOff>
    </xdr:from>
    <xdr:to>
      <xdr:col>24</xdr:col>
      <xdr:colOff>219711</xdr:colOff>
      <xdr:row>46</xdr:row>
      <xdr:rowOff>116569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rcRect t="69414"/>
        <a:stretch/>
      </xdr:blipFill>
      <xdr:spPr bwMode="auto">
        <a:xfrm>
          <a:off x="6994072" y="6694715"/>
          <a:ext cx="9744710" cy="20351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97633</xdr:colOff>
      <xdr:row>9</xdr:row>
      <xdr:rowOff>72799</xdr:rowOff>
    </xdr:from>
    <xdr:to>
      <xdr:col>2</xdr:col>
      <xdr:colOff>595633</xdr:colOff>
      <xdr:row>14</xdr:row>
      <xdr:rowOff>84026</xdr:rowOff>
    </xdr:to>
    <xdr:grpSp>
      <xdr:nvGrpSpPr>
        <xdr:cNvPr id="2" name="Gruppier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9633" y="1832123"/>
          <a:ext cx="1260000" cy="963727"/>
          <a:chOff x="1306118" y="3437333"/>
          <a:chExt cx="1260000" cy="963727"/>
        </a:xfrm>
      </xdr:grpSpPr>
      <xdr:sp macro="" textlink="">
        <xdr:nvSpPr>
          <xdr:cNvPr id="3" name="Rechteck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1306118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4" name="Pfeil: nach rechts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 rot="10800000">
            <a:off x="1678943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06118" y="3437333"/>
            <a:ext cx="1260000" cy="413726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4</xdr:col>
      <xdr:colOff>104096</xdr:colOff>
      <xdr:row>9</xdr:row>
      <xdr:rowOff>72799</xdr:rowOff>
    </xdr:from>
    <xdr:to>
      <xdr:col>5</xdr:col>
      <xdr:colOff>602096</xdr:colOff>
      <xdr:row>14</xdr:row>
      <xdr:rowOff>84026</xdr:rowOff>
    </xdr:to>
    <xdr:grpSp>
      <xdr:nvGrpSpPr>
        <xdr:cNvPr id="6" name="Gruppier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500-000006000000}"/>
            </a:ext>
          </a:extLst>
        </xdr:cNvPr>
        <xdr:cNvGrpSpPr/>
      </xdr:nvGrpSpPr>
      <xdr:grpSpPr>
        <a:xfrm>
          <a:off x="2636625" y="1832123"/>
          <a:ext cx="1260000" cy="963727"/>
          <a:chOff x="2826204" y="3437333"/>
          <a:chExt cx="1260000" cy="96372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00000000-0008-0000-4500-000007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826204" y="3437333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4500-000008000000}"/>
              </a:ext>
            </a:extLst>
          </xdr:cNvPr>
          <xdr:cNvSpPr/>
        </xdr:nvSpPr>
        <xdr:spPr>
          <a:xfrm>
            <a:off x="2826204" y="3858135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9" name="Pfeil: nach rechts 8">
            <a:extLst>
              <a:ext uri="{FF2B5EF4-FFF2-40B4-BE49-F238E27FC236}">
                <a16:creationId xmlns:a16="http://schemas.microsoft.com/office/drawing/2014/main" id="{00000000-0008-0000-4500-000009000000}"/>
              </a:ext>
            </a:extLst>
          </xdr:cNvPr>
          <xdr:cNvSpPr/>
        </xdr:nvSpPr>
        <xdr:spPr>
          <a:xfrm rot="10800000">
            <a:off x="3199030" y="4043872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7</xdr:col>
      <xdr:colOff>110559</xdr:colOff>
      <xdr:row>9</xdr:row>
      <xdr:rowOff>72799</xdr:rowOff>
    </xdr:from>
    <xdr:to>
      <xdr:col>8</xdr:col>
      <xdr:colOff>608559</xdr:colOff>
      <xdr:row>14</xdr:row>
      <xdr:rowOff>83684</xdr:rowOff>
    </xdr:to>
    <xdr:grpSp>
      <xdr:nvGrpSpPr>
        <xdr:cNvPr id="10" name="Gruppier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GrpSpPr/>
      </xdr:nvGrpSpPr>
      <xdr:grpSpPr>
        <a:xfrm>
          <a:off x="4413618" y="1832123"/>
          <a:ext cx="1260000" cy="963385"/>
          <a:chOff x="4339488" y="3431380"/>
          <a:chExt cx="1260000" cy="963385"/>
        </a:xfrm>
      </xdr:grpSpPr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4500-00000B000000}"/>
              </a:ext>
            </a:extLst>
          </xdr:cNvPr>
          <xdr:cNvSpPr/>
        </xdr:nvSpPr>
        <xdr:spPr>
          <a:xfrm>
            <a:off x="4339488" y="3851840"/>
            <a:ext cx="1260000" cy="5429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4500-00000C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flipH="1">
            <a:off x="4339488" y="3431380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" name="Pfeil: nach rechts 12">
            <a:extLst>
              <a:ext uri="{FF2B5EF4-FFF2-40B4-BE49-F238E27FC236}">
                <a16:creationId xmlns:a16="http://schemas.microsoft.com/office/drawing/2014/main" id="{00000000-0008-0000-4500-00000D000000}"/>
              </a:ext>
            </a:extLst>
          </xdr:cNvPr>
          <xdr:cNvSpPr/>
        </xdr:nvSpPr>
        <xdr:spPr>
          <a:xfrm rot="10800000" flipH="1">
            <a:off x="4712314" y="4037577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10</xdr:col>
      <xdr:colOff>117021</xdr:colOff>
      <xdr:row>9</xdr:row>
      <xdr:rowOff>72799</xdr:rowOff>
    </xdr:from>
    <xdr:to>
      <xdr:col>11</xdr:col>
      <xdr:colOff>615021</xdr:colOff>
      <xdr:row>14</xdr:row>
      <xdr:rowOff>71777</xdr:rowOff>
    </xdr:to>
    <xdr:grpSp>
      <xdr:nvGrpSpPr>
        <xdr:cNvPr id="14" name="Gruppieren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GrpSpPr/>
      </xdr:nvGrpSpPr>
      <xdr:grpSpPr>
        <a:xfrm>
          <a:off x="6190609" y="1832123"/>
          <a:ext cx="1260000" cy="951478"/>
          <a:chOff x="5897506" y="3424408"/>
          <a:chExt cx="1260000" cy="951478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00000000-0008-0000-4500-00000F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 flipH="1">
            <a:off x="5897506" y="3424408"/>
            <a:ext cx="1260000" cy="414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6" name="Rechteck 15">
            <a:extLst>
              <a:ext uri="{FF2B5EF4-FFF2-40B4-BE49-F238E27FC236}">
                <a16:creationId xmlns:a16="http://schemas.microsoft.com/office/drawing/2014/main" id="{00000000-0008-0000-4500-000010000000}"/>
              </a:ext>
            </a:extLst>
          </xdr:cNvPr>
          <xdr:cNvSpPr/>
        </xdr:nvSpPr>
        <xdr:spPr>
          <a:xfrm>
            <a:off x="5897506" y="3852010"/>
            <a:ext cx="1260000" cy="523876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7" name="Pfeil: nach rechts 16">
            <a:extLst>
              <a:ext uri="{FF2B5EF4-FFF2-40B4-BE49-F238E27FC236}">
                <a16:creationId xmlns:a16="http://schemas.microsoft.com/office/drawing/2014/main" id="{00000000-0008-0000-4500-000011000000}"/>
              </a:ext>
            </a:extLst>
          </xdr:cNvPr>
          <xdr:cNvSpPr/>
        </xdr:nvSpPr>
        <xdr:spPr>
          <a:xfrm rot="10800000" flipH="1">
            <a:off x="6270332" y="4028223"/>
            <a:ext cx="514350" cy="17145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</xdr:col>
      <xdr:colOff>7327</xdr:colOff>
      <xdr:row>2</xdr:row>
      <xdr:rowOff>21981</xdr:rowOff>
    </xdr:from>
    <xdr:to>
      <xdr:col>5</xdr:col>
      <xdr:colOff>271097</xdr:colOff>
      <xdr:row>4</xdr:row>
      <xdr:rowOff>177865</xdr:rowOff>
    </xdr:to>
    <xdr:grpSp>
      <xdr:nvGrpSpPr>
        <xdr:cNvPr id="22" name="Gruppieren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GrpSpPr/>
      </xdr:nvGrpSpPr>
      <xdr:grpSpPr>
        <a:xfrm>
          <a:off x="769327" y="402981"/>
          <a:ext cx="2796299" cy="536884"/>
          <a:chOff x="769327" y="402981"/>
          <a:chExt cx="2798885" cy="536884"/>
        </a:xfrm>
      </xdr:grpSpPr>
      <xdr:pic>
        <xdr:nvPicPr>
          <xdr:cNvPr id="20" name="Grafik 19">
            <a:extLst>
              <a:ext uri="{FF2B5EF4-FFF2-40B4-BE49-F238E27FC236}">
                <a16:creationId xmlns:a16="http://schemas.microsoft.com/office/drawing/2014/main" id="{00000000-0008-0000-4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9327" y="681405"/>
            <a:ext cx="2710961" cy="258460"/>
          </a:xfrm>
          <a:prstGeom prst="rect">
            <a:avLst/>
          </a:prstGeom>
        </xdr:spPr>
      </xdr:pic>
      <xdr:pic>
        <xdr:nvPicPr>
          <xdr:cNvPr id="21" name="Grafik 20">
            <a:extLst>
              <a:ext uri="{FF2B5EF4-FFF2-40B4-BE49-F238E27FC236}">
                <a16:creationId xmlns:a16="http://schemas.microsoft.com/office/drawing/2014/main" id="{00000000-0008-0000-45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769327" y="402981"/>
            <a:ext cx="2798885" cy="256564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291354</xdr:colOff>
      <xdr:row>8</xdr:row>
      <xdr:rowOff>179293</xdr:rowOff>
    </xdr:from>
    <xdr:to>
      <xdr:col>14</xdr:col>
      <xdr:colOff>740671</xdr:colOff>
      <xdr:row>18</xdr:row>
      <xdr:rowOff>168274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E5F3691-FFE0-4D5F-A1C1-95B4CD6D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8148" y="1748117"/>
          <a:ext cx="3743847" cy="1333686"/>
        </a:xfrm>
        <a:prstGeom prst="rect">
          <a:avLst/>
        </a:prstGeom>
      </xdr:spPr>
    </xdr:pic>
    <xdr:clientData/>
  </xdr:twoCellAnchor>
  <xdr:twoCellAnchor editAs="oneCell">
    <xdr:from>
      <xdr:col>11</xdr:col>
      <xdr:colOff>173270</xdr:colOff>
      <xdr:row>19</xdr:row>
      <xdr:rowOff>156884</xdr:rowOff>
    </xdr:from>
    <xdr:to>
      <xdr:col>14</xdr:col>
      <xdr:colOff>191059</xdr:colOff>
      <xdr:row>31</xdr:row>
      <xdr:rowOff>1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8594" y="3260913"/>
          <a:ext cx="2303789" cy="198344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47625</xdr:rowOff>
    </xdr:from>
    <xdr:to>
      <xdr:col>4</xdr:col>
      <xdr:colOff>247649</xdr:colOff>
      <xdr:row>4</xdr:row>
      <xdr:rowOff>173199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" y="428625"/>
          <a:ext cx="2895599" cy="5065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28575</xdr:rowOff>
    </xdr:from>
    <xdr:to>
      <xdr:col>4</xdr:col>
      <xdr:colOff>219074</xdr:colOff>
      <xdr:row>4</xdr:row>
      <xdr:rowOff>154149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11</xdr:col>
      <xdr:colOff>394110</xdr:colOff>
      <xdr:row>9</xdr:row>
      <xdr:rowOff>7329</xdr:rowOff>
    </xdr:from>
    <xdr:to>
      <xdr:col>14</xdr:col>
      <xdr:colOff>168089</xdr:colOff>
      <xdr:row>24</xdr:row>
      <xdr:rowOff>67235</xdr:rowOff>
    </xdr:to>
    <xdr:grpSp>
      <xdr:nvGrpSpPr>
        <xdr:cNvPr id="19" name="Gruppieren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pSpPr/>
      </xdr:nvGrpSpPr>
      <xdr:grpSpPr>
        <a:xfrm>
          <a:off x="8249434" y="1766653"/>
          <a:ext cx="2059979" cy="2323494"/>
          <a:chOff x="8251501" y="1768904"/>
          <a:chExt cx="2060632" cy="2312999"/>
        </a:xfrm>
      </xdr:grpSpPr>
      <xdr:sp macro="" textlink="">
        <xdr:nvSpPr>
          <xdr:cNvPr id="8" name="Rechteck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>
          <a:xfrm>
            <a:off x="8251501" y="1768904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cxnSp macro="">
        <xdr:nvCxnSpPr>
          <xdr:cNvPr id="10" name="Gerade Verbindung mit Pfeil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 flipH="1" flipV="1">
            <a:off x="9286874" y="2362201"/>
            <a:ext cx="386320" cy="82728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>
          <a:xfrm>
            <a:off x="9136447" y="3242113"/>
            <a:ext cx="400050" cy="19050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2" name="Rechteck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/>
        </xdr:nvSpPr>
        <xdr:spPr>
          <a:xfrm>
            <a:off x="9998268" y="3238500"/>
            <a:ext cx="313865" cy="8434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  <xdr:sp macro="" textlink="">
        <xdr:nvSpPr>
          <xdr:cNvPr id="18" name="Rechteck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/>
        </xdr:nvSpPr>
        <xdr:spPr>
          <a:xfrm>
            <a:off x="9617527" y="2619889"/>
            <a:ext cx="523875" cy="23268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14</xdr:col>
      <xdr:colOff>627529</xdr:colOff>
      <xdr:row>10</xdr:row>
      <xdr:rowOff>33618</xdr:rowOff>
    </xdr:from>
    <xdr:to>
      <xdr:col>17</xdr:col>
      <xdr:colOff>494638</xdr:colOff>
      <xdr:row>42</xdr:row>
      <xdr:rowOff>69478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8853" y="1871383"/>
          <a:ext cx="2153109" cy="5089713"/>
        </a:xfrm>
        <a:prstGeom prst="rect">
          <a:avLst/>
        </a:prstGeom>
      </xdr:spPr>
    </xdr:pic>
    <xdr:clientData/>
  </xdr:twoCellAnchor>
  <xdr:twoCellAnchor>
    <xdr:from>
      <xdr:col>15</xdr:col>
      <xdr:colOff>123266</xdr:colOff>
      <xdr:row>26</xdr:row>
      <xdr:rowOff>89649</xdr:rowOff>
    </xdr:from>
    <xdr:to>
      <xdr:col>15</xdr:col>
      <xdr:colOff>336177</xdr:colOff>
      <xdr:row>28</xdr:row>
      <xdr:rowOff>78443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11026590" y="4493561"/>
          <a:ext cx="212911" cy="3697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695325</xdr:colOff>
      <xdr:row>8</xdr:row>
      <xdr:rowOff>161925</xdr:rowOff>
    </xdr:from>
    <xdr:to>
      <xdr:col>17</xdr:col>
      <xdr:colOff>585391</xdr:colOff>
      <xdr:row>43</xdr:row>
      <xdr:rowOff>176843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4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1450" y="1809750"/>
          <a:ext cx="2137966" cy="561113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21</xdr:row>
      <xdr:rowOff>57150</xdr:rowOff>
    </xdr:from>
    <xdr:to>
      <xdr:col>14</xdr:col>
      <xdr:colOff>261912</xdr:colOff>
      <xdr:row>31</xdr:row>
      <xdr:rowOff>166407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0125" y="3648075"/>
          <a:ext cx="1785912" cy="1781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9</xdr:col>
      <xdr:colOff>257175</xdr:colOff>
      <xdr:row>8</xdr:row>
      <xdr:rowOff>180975</xdr:rowOff>
    </xdr:from>
    <xdr:to>
      <xdr:col>15</xdr:col>
      <xdr:colOff>533400</xdr:colOff>
      <xdr:row>19</xdr:row>
      <xdr:rowOff>99370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05650" y="1752600"/>
          <a:ext cx="4333875" cy="1556695"/>
        </a:xfrm>
        <a:prstGeom prst="rect">
          <a:avLst/>
        </a:prstGeom>
      </xdr:spPr>
    </xdr:pic>
    <xdr:clientData/>
  </xdr:twoCellAnchor>
  <xdr:twoCellAnchor>
    <xdr:from>
      <xdr:col>11</xdr:col>
      <xdr:colOff>114300</xdr:colOff>
      <xdr:row>12</xdr:row>
      <xdr:rowOff>66675</xdr:rowOff>
    </xdr:from>
    <xdr:to>
      <xdr:col>11</xdr:col>
      <xdr:colOff>638175</xdr:colOff>
      <xdr:row>14</xdr:row>
      <xdr:rowOff>32657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/>
      </xdr:nvSpPr>
      <xdr:spPr>
        <a:xfrm>
          <a:off x="7972425" y="21717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20</xdr:row>
      <xdr:rowOff>171450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4600-000006000000}"/>
            </a:ext>
          </a:extLst>
        </xdr:cNvPr>
        <xdr:cNvCxnSpPr/>
      </xdr:nvCxnSpPr>
      <xdr:spPr>
        <a:xfrm flipV="1">
          <a:off x="8877300" y="2676525"/>
          <a:ext cx="276225" cy="895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723900</xdr:colOff>
      <xdr:row>21</xdr:row>
      <xdr:rowOff>19050</xdr:rowOff>
    </xdr:from>
    <xdr:to>
      <xdr:col>12</xdr:col>
      <xdr:colOff>209550</xdr:colOff>
      <xdr:row>26</xdr:row>
      <xdr:rowOff>47625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4600-000007000000}"/>
            </a:ext>
          </a:extLst>
        </xdr:cNvPr>
        <xdr:cNvSpPr/>
      </xdr:nvSpPr>
      <xdr:spPr>
        <a:xfrm>
          <a:off x="8582025" y="3609975"/>
          <a:ext cx="247650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15</xdr:col>
      <xdr:colOff>733425</xdr:colOff>
      <xdr:row>26</xdr:row>
      <xdr:rowOff>76201</xdr:rowOff>
    </xdr:from>
    <xdr:to>
      <xdr:col>15</xdr:col>
      <xdr:colOff>962025</xdr:colOff>
      <xdr:row>28</xdr:row>
      <xdr:rowOff>19051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00000000-0008-0000-4600-000009000000}"/>
            </a:ext>
          </a:extLst>
        </xdr:cNvPr>
        <xdr:cNvSpPr/>
      </xdr:nvSpPr>
      <xdr:spPr>
        <a:xfrm>
          <a:off x="11639550" y="4657726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38100</xdr:colOff>
      <xdr:row>2</xdr:row>
      <xdr:rowOff>28575</xdr:rowOff>
    </xdr:from>
    <xdr:to>
      <xdr:col>4</xdr:col>
      <xdr:colOff>150935</xdr:colOff>
      <xdr:row>4</xdr:row>
      <xdr:rowOff>184459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4600-00000A000000}"/>
            </a:ext>
          </a:extLst>
        </xdr:cNvPr>
        <xdr:cNvGrpSpPr/>
      </xdr:nvGrpSpPr>
      <xdr:grpSpPr>
        <a:xfrm>
          <a:off x="800100" y="409575"/>
          <a:ext cx="2802247" cy="615325"/>
          <a:chOff x="769327" y="402981"/>
          <a:chExt cx="2798885" cy="536884"/>
        </a:xfrm>
      </xdr:grpSpPr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46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69327" y="681405"/>
            <a:ext cx="2710961" cy="258460"/>
          </a:xfrm>
          <a:prstGeom prst="rect">
            <a:avLst/>
          </a:prstGeom>
        </xdr:spPr>
      </xdr:pic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00000000-0008-0000-46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69327" y="402981"/>
            <a:ext cx="2798885" cy="256564"/>
          </a:xfrm>
          <a:prstGeom prst="rect">
            <a:avLst/>
          </a:prstGeom>
        </xdr:spPr>
      </xdr:pic>
    </xdr:grp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579" y="1100978"/>
          <a:ext cx="1647825" cy="2807888"/>
        </a:xfrm>
        <a:prstGeom prst="rect">
          <a:avLst/>
        </a:prstGeom>
      </xdr:spPr>
    </xdr:pic>
    <xdr:clientData/>
  </xdr:twoCellAnchor>
  <xdr:twoCellAnchor editAs="oneCell">
    <xdr:from>
      <xdr:col>1</xdr:col>
      <xdr:colOff>638735</xdr:colOff>
      <xdr:row>56</xdr:row>
      <xdr:rowOff>123263</xdr:rowOff>
    </xdr:from>
    <xdr:to>
      <xdr:col>8</xdr:col>
      <xdr:colOff>19448</xdr:colOff>
      <xdr:row>70</xdr:row>
      <xdr:rowOff>69563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8285" y="10162613"/>
          <a:ext cx="6333963" cy="2270400"/>
        </a:xfrm>
        <a:prstGeom prst="rect">
          <a:avLst/>
        </a:prstGeom>
      </xdr:spPr>
    </xdr:pic>
    <xdr:clientData/>
  </xdr:twoCellAnchor>
  <xdr:twoCellAnchor editAs="oneCell">
    <xdr:from>
      <xdr:col>2</xdr:col>
      <xdr:colOff>243727</xdr:colOff>
      <xdr:row>3</xdr:row>
      <xdr:rowOff>69475</xdr:rowOff>
    </xdr:from>
    <xdr:to>
      <xdr:col>5</xdr:col>
      <xdr:colOff>299443</xdr:colOff>
      <xdr:row>45</xdr:row>
      <xdr:rowOff>44823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4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28021" y="685799"/>
          <a:ext cx="2958040" cy="7763436"/>
        </a:xfrm>
        <a:prstGeom prst="rect">
          <a:avLst/>
        </a:prstGeom>
      </xdr:spPr>
    </xdr:pic>
    <xdr:clientData/>
  </xdr:twoCellAnchor>
  <xdr:twoCellAnchor editAs="oneCell">
    <xdr:from>
      <xdr:col>10</xdr:col>
      <xdr:colOff>212912</xdr:colOff>
      <xdr:row>53</xdr:row>
      <xdr:rowOff>10617</xdr:rowOff>
    </xdr:from>
    <xdr:to>
      <xdr:col>16</xdr:col>
      <xdr:colOff>381000</xdr:colOff>
      <xdr:row>71</xdr:row>
      <xdr:rowOff>181318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4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11353" y="9602852"/>
          <a:ext cx="3798794" cy="3151466"/>
        </a:xfrm>
        <a:prstGeom prst="rect">
          <a:avLst/>
        </a:prstGeom>
      </xdr:spPr>
    </xdr:pic>
    <xdr:clientData/>
  </xdr:twoCellAnchor>
  <xdr:twoCellAnchor editAs="oneCell">
    <xdr:from>
      <xdr:col>9</xdr:col>
      <xdr:colOff>89646</xdr:colOff>
      <xdr:row>5</xdr:row>
      <xdr:rowOff>78440</xdr:rowOff>
    </xdr:from>
    <xdr:to>
      <xdr:col>22</xdr:col>
      <xdr:colOff>506552</xdr:colOff>
      <xdr:row>44</xdr:row>
      <xdr:rowOff>156881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4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63970" y="1075764"/>
          <a:ext cx="8888553" cy="7295029"/>
        </a:xfrm>
        <a:prstGeom prst="rect">
          <a:avLst/>
        </a:prstGeom>
      </xdr:spPr>
    </xdr:pic>
    <xdr:clientData/>
  </xdr:twoCellAnchor>
  <xdr:twoCellAnchor editAs="oneCell">
    <xdr:from>
      <xdr:col>22</xdr:col>
      <xdr:colOff>280147</xdr:colOff>
      <xdr:row>5</xdr:row>
      <xdr:rowOff>78440</xdr:rowOff>
    </xdr:from>
    <xdr:to>
      <xdr:col>29</xdr:col>
      <xdr:colOff>33617</xdr:colOff>
      <xdr:row>43</xdr:row>
      <xdr:rowOff>61756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4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226118" y="1075764"/>
          <a:ext cx="5087470" cy="7009404"/>
        </a:xfrm>
        <a:prstGeom prst="rect">
          <a:avLst/>
        </a:prstGeom>
      </xdr:spPr>
    </xdr:pic>
    <xdr:clientData/>
  </xdr:twoCellAnchor>
  <xdr:twoCellAnchor editAs="oneCell">
    <xdr:from>
      <xdr:col>31</xdr:col>
      <xdr:colOff>67236</xdr:colOff>
      <xdr:row>24</xdr:row>
      <xdr:rowOff>156882</xdr:rowOff>
    </xdr:from>
    <xdr:to>
      <xdr:col>35</xdr:col>
      <xdr:colOff>272037</xdr:colOff>
      <xdr:row>43</xdr:row>
      <xdr:rowOff>185966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4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885089" y="4560794"/>
          <a:ext cx="6115904" cy="3648584"/>
        </a:xfrm>
        <a:prstGeom prst="rect">
          <a:avLst/>
        </a:prstGeom>
      </xdr:spPr>
    </xdr:pic>
    <xdr:clientData/>
  </xdr:twoCellAnchor>
  <xdr:twoCellAnchor editAs="oneCell">
    <xdr:from>
      <xdr:col>31</xdr:col>
      <xdr:colOff>123265</xdr:colOff>
      <xdr:row>45</xdr:row>
      <xdr:rowOff>78441</xdr:rowOff>
    </xdr:from>
    <xdr:to>
      <xdr:col>39</xdr:col>
      <xdr:colOff>86186</xdr:colOff>
      <xdr:row>69</xdr:row>
      <xdr:rowOff>91858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4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941118" y="8482853"/>
          <a:ext cx="8459381" cy="3801005"/>
        </a:xfrm>
        <a:prstGeom prst="rect">
          <a:avLst/>
        </a:prstGeom>
      </xdr:spPr>
    </xdr:pic>
    <xdr:clientData/>
  </xdr:twoCellAnchor>
  <xdr:twoCellAnchor editAs="oneCell">
    <xdr:from>
      <xdr:col>22</xdr:col>
      <xdr:colOff>398318</xdr:colOff>
      <xdr:row>2</xdr:row>
      <xdr:rowOff>138546</xdr:rowOff>
    </xdr:from>
    <xdr:to>
      <xdr:col>26</xdr:col>
      <xdr:colOff>708760</xdr:colOff>
      <xdr:row>4</xdr:row>
      <xdr:rowOff>138546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4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348363" y="571501"/>
          <a:ext cx="3358442" cy="381000"/>
        </a:xfrm>
        <a:prstGeom prst="rect">
          <a:avLst/>
        </a:prstGeom>
      </xdr:spPr>
    </xdr:pic>
    <xdr:clientData/>
  </xdr:twoCellAnchor>
  <xdr:twoCellAnchor editAs="oneCell">
    <xdr:from>
      <xdr:col>18</xdr:col>
      <xdr:colOff>40822</xdr:colOff>
      <xdr:row>56</xdr:row>
      <xdr:rowOff>149678</xdr:rowOff>
    </xdr:from>
    <xdr:to>
      <xdr:col>21</xdr:col>
      <xdr:colOff>401391</xdr:colOff>
      <xdr:row>71</xdr:row>
      <xdr:rowOff>122465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940393" y="10232571"/>
          <a:ext cx="2646569" cy="2503715"/>
        </a:xfrm>
        <a:prstGeom prst="rect">
          <a:avLst/>
        </a:prstGeom>
      </xdr:spPr>
    </xdr:pic>
    <xdr:clientData/>
  </xdr:twoCellAnchor>
  <xdr:twoCellAnchor>
    <xdr:from>
      <xdr:col>33</xdr:col>
      <xdr:colOff>95250</xdr:colOff>
      <xdr:row>71</xdr:row>
      <xdr:rowOff>54430</xdr:rowOff>
    </xdr:from>
    <xdr:to>
      <xdr:col>40</xdr:col>
      <xdr:colOff>499970</xdr:colOff>
      <xdr:row>92</xdr:row>
      <xdr:rowOff>163288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C9444D96-C02D-4E35-A6BE-EB84F84AF5EC}"/>
            </a:ext>
          </a:extLst>
        </xdr:cNvPr>
        <xdr:cNvGrpSpPr/>
      </xdr:nvGrpSpPr>
      <xdr:grpSpPr>
        <a:xfrm>
          <a:off x="23417893" y="12668251"/>
          <a:ext cx="8174398" cy="4109358"/>
          <a:chOff x="21199929" y="7892143"/>
          <a:chExt cx="10477500" cy="5402036"/>
        </a:xfrm>
      </xdr:grpSpPr>
      <xdr:grpSp>
        <xdr:nvGrpSpPr>
          <xdr:cNvPr id="15" name="Gruppieren 14">
            <a:extLst>
              <a:ext uri="{FF2B5EF4-FFF2-40B4-BE49-F238E27FC236}">
                <a16:creationId xmlns:a16="http://schemas.microsoft.com/office/drawing/2014/main" id="{212698B0-4993-4E2D-8E6D-693689D84ECE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22" name="Grafik 21">
              <a:extLst>
                <a:ext uri="{FF2B5EF4-FFF2-40B4-BE49-F238E27FC236}">
                  <a16:creationId xmlns:a16="http://schemas.microsoft.com/office/drawing/2014/main" id="{54608F31-5D9D-4213-99CA-65153779A60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23" name="Grafik 22">
              <a:extLst>
                <a:ext uri="{FF2B5EF4-FFF2-40B4-BE49-F238E27FC236}">
                  <a16:creationId xmlns:a16="http://schemas.microsoft.com/office/drawing/2014/main" id="{58DF3AE9-9CB9-44DD-AD75-AC947A1A5C0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24" name="Gleichschenkliges Dreieck 23">
              <a:extLst>
                <a:ext uri="{FF2B5EF4-FFF2-40B4-BE49-F238E27FC236}">
                  <a16:creationId xmlns:a16="http://schemas.microsoft.com/office/drawing/2014/main" id="{74FB0FC0-6900-4011-BE13-5CE001E086D1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5" name="Rechteck 24">
              <a:extLst>
                <a:ext uri="{FF2B5EF4-FFF2-40B4-BE49-F238E27FC236}">
                  <a16:creationId xmlns:a16="http://schemas.microsoft.com/office/drawing/2014/main" id="{21C0298F-372F-465C-832D-A8BA054CF15F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6" name="Rechteck 25">
              <a:extLst>
                <a:ext uri="{FF2B5EF4-FFF2-40B4-BE49-F238E27FC236}">
                  <a16:creationId xmlns:a16="http://schemas.microsoft.com/office/drawing/2014/main" id="{F8EF8925-4439-469C-8B89-22C5898D6F2D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17" name="Rechteck 16">
            <a:extLst>
              <a:ext uri="{FF2B5EF4-FFF2-40B4-BE49-F238E27FC236}">
                <a16:creationId xmlns:a16="http://schemas.microsoft.com/office/drawing/2014/main" id="{AADD013A-E5CE-4853-A42A-47849E9435C4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36</xdr:col>
      <xdr:colOff>27216</xdr:colOff>
      <xdr:row>12</xdr:row>
      <xdr:rowOff>68034</xdr:rowOff>
    </xdr:from>
    <xdr:to>
      <xdr:col>40</xdr:col>
      <xdr:colOff>421821</xdr:colOff>
      <xdr:row>70</xdr:row>
      <xdr:rowOff>176896</xdr:rowOff>
    </xdr:to>
    <xdr:cxnSp macro="">
      <xdr:nvCxnSpPr>
        <xdr:cNvPr id="27" name="Verbinder: gekrümmt 26">
          <a:extLst>
            <a:ext uri="{FF2B5EF4-FFF2-40B4-BE49-F238E27FC236}">
              <a16:creationId xmlns:a16="http://schemas.microsoft.com/office/drawing/2014/main" id="{EA5F0810-73B3-4505-AC0E-1A23AFBC2FB8}"/>
            </a:ext>
          </a:extLst>
        </xdr:cNvPr>
        <xdr:cNvCxnSpPr/>
      </xdr:nvCxnSpPr>
      <xdr:spPr>
        <a:xfrm rot="16200000" flipH="1">
          <a:off x="24594909" y="5680983"/>
          <a:ext cx="10395862" cy="3442605"/>
        </a:xfrm>
        <a:prstGeom prst="curvedConnector3">
          <a:avLst>
            <a:gd name="adj1" fmla="val 0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171450</xdr:colOff>
      <xdr:row>10</xdr:row>
      <xdr:rowOff>9525</xdr:rowOff>
    </xdr:from>
    <xdr:to>
      <xdr:col>15</xdr:col>
      <xdr:colOff>577850</xdr:colOff>
      <xdr:row>19</xdr:row>
      <xdr:rowOff>161925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4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1924050"/>
          <a:ext cx="4464050" cy="1409700"/>
        </a:xfrm>
        <a:prstGeom prst="rect">
          <a:avLst/>
        </a:prstGeom>
      </xdr:spPr>
    </xdr:pic>
    <xdr:clientData/>
  </xdr:twoCellAnchor>
  <xdr:twoCellAnchor editAs="oneCell">
    <xdr:from>
      <xdr:col>15</xdr:col>
      <xdr:colOff>695325</xdr:colOff>
      <xdr:row>8</xdr:row>
      <xdr:rowOff>161925</xdr:rowOff>
    </xdr:from>
    <xdr:to>
      <xdr:col>17</xdr:col>
      <xdr:colOff>585391</xdr:colOff>
      <xdr:row>43</xdr:row>
      <xdr:rowOff>176843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01450" y="1809750"/>
          <a:ext cx="2137966" cy="561113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57150</xdr:rowOff>
    </xdr:from>
    <xdr:to>
      <xdr:col>14</xdr:col>
      <xdr:colOff>261912</xdr:colOff>
      <xdr:row>33</xdr:row>
      <xdr:rowOff>166407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20125" y="3914775"/>
          <a:ext cx="1785912" cy="1781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11</xdr:col>
      <xdr:colOff>114300</xdr:colOff>
      <xdr:row>12</xdr:row>
      <xdr:rowOff>66675</xdr:rowOff>
    </xdr:from>
    <xdr:to>
      <xdr:col>11</xdr:col>
      <xdr:colOff>638175</xdr:colOff>
      <xdr:row>14</xdr:row>
      <xdr:rowOff>32657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/>
      </xdr:nvSpPr>
      <xdr:spPr>
        <a:xfrm>
          <a:off x="7972425" y="224790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22</xdr:row>
      <xdr:rowOff>171450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4800-000006000000}"/>
            </a:ext>
          </a:extLst>
        </xdr:cNvPr>
        <xdr:cNvCxnSpPr/>
      </xdr:nvCxnSpPr>
      <xdr:spPr>
        <a:xfrm flipV="1">
          <a:off x="8877300" y="2752725"/>
          <a:ext cx="276225" cy="1085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723900</xdr:colOff>
      <xdr:row>23</xdr:row>
      <xdr:rowOff>19050</xdr:rowOff>
    </xdr:from>
    <xdr:to>
      <xdr:col>12</xdr:col>
      <xdr:colOff>209550</xdr:colOff>
      <xdr:row>28</xdr:row>
      <xdr:rowOff>47625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4800-000007000000}"/>
            </a:ext>
          </a:extLst>
        </xdr:cNvPr>
        <xdr:cNvSpPr/>
      </xdr:nvSpPr>
      <xdr:spPr>
        <a:xfrm>
          <a:off x="8582025" y="3876675"/>
          <a:ext cx="247650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15</xdr:col>
      <xdr:colOff>733425</xdr:colOff>
      <xdr:row>26</xdr:row>
      <xdr:rowOff>132227</xdr:rowOff>
    </xdr:from>
    <xdr:to>
      <xdr:col>15</xdr:col>
      <xdr:colOff>962025</xdr:colOff>
      <xdr:row>28</xdr:row>
      <xdr:rowOff>75077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4800-000008000000}"/>
            </a:ext>
          </a:extLst>
        </xdr:cNvPr>
        <xdr:cNvSpPr/>
      </xdr:nvSpPr>
      <xdr:spPr>
        <a:xfrm>
          <a:off x="11636749" y="4614580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38100</xdr:colOff>
      <xdr:row>2</xdr:row>
      <xdr:rowOff>28575</xdr:rowOff>
    </xdr:from>
    <xdr:to>
      <xdr:col>4</xdr:col>
      <xdr:colOff>150935</xdr:colOff>
      <xdr:row>4</xdr:row>
      <xdr:rowOff>184459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4800-000009000000}"/>
            </a:ext>
          </a:extLst>
        </xdr:cNvPr>
        <xdr:cNvGrpSpPr/>
      </xdr:nvGrpSpPr>
      <xdr:grpSpPr>
        <a:xfrm>
          <a:off x="800100" y="409575"/>
          <a:ext cx="2802247" cy="615325"/>
          <a:chOff x="769327" y="402981"/>
          <a:chExt cx="2798885" cy="536884"/>
        </a:xfrm>
      </xdr:grpSpPr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48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69327" y="681405"/>
            <a:ext cx="2710961" cy="258460"/>
          </a:xfrm>
          <a:prstGeom prst="rect">
            <a:avLst/>
          </a:prstGeom>
        </xdr:spPr>
      </xdr:pic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48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69327" y="402981"/>
            <a:ext cx="2798885" cy="256564"/>
          </a:xfrm>
          <a:prstGeom prst="rect">
            <a:avLst/>
          </a:prstGeom>
        </xdr:spPr>
      </xdr:pic>
    </xdr:grp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579" y="1100978"/>
          <a:ext cx="1647825" cy="2807888"/>
        </a:xfrm>
        <a:prstGeom prst="rect">
          <a:avLst/>
        </a:prstGeom>
      </xdr:spPr>
    </xdr:pic>
    <xdr:clientData/>
  </xdr:twoCellAnchor>
  <xdr:twoCellAnchor editAs="oneCell">
    <xdr:from>
      <xdr:col>2</xdr:col>
      <xdr:colOff>243727</xdr:colOff>
      <xdr:row>3</xdr:row>
      <xdr:rowOff>69475</xdr:rowOff>
    </xdr:from>
    <xdr:to>
      <xdr:col>5</xdr:col>
      <xdr:colOff>299443</xdr:colOff>
      <xdr:row>45</xdr:row>
      <xdr:rowOff>44823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0177" y="688600"/>
          <a:ext cx="2960841" cy="7757273"/>
        </a:xfrm>
        <a:prstGeom prst="rect">
          <a:avLst/>
        </a:prstGeom>
      </xdr:spPr>
    </xdr:pic>
    <xdr:clientData/>
  </xdr:twoCellAnchor>
  <xdr:twoCellAnchor editAs="oneCell">
    <xdr:from>
      <xdr:col>10</xdr:col>
      <xdr:colOff>212912</xdr:colOff>
      <xdr:row>53</xdr:row>
      <xdr:rowOff>10617</xdr:rowOff>
    </xdr:from>
    <xdr:to>
      <xdr:col>16</xdr:col>
      <xdr:colOff>381000</xdr:colOff>
      <xdr:row>71</xdr:row>
      <xdr:rowOff>181318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4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09112" y="9592767"/>
          <a:ext cx="3797113" cy="3142501"/>
        </a:xfrm>
        <a:prstGeom prst="rect">
          <a:avLst/>
        </a:prstGeom>
      </xdr:spPr>
    </xdr:pic>
    <xdr:clientData/>
  </xdr:twoCellAnchor>
  <xdr:twoCellAnchor editAs="oneCell">
    <xdr:from>
      <xdr:col>9</xdr:col>
      <xdr:colOff>89646</xdr:colOff>
      <xdr:row>5</xdr:row>
      <xdr:rowOff>78440</xdr:rowOff>
    </xdr:from>
    <xdr:to>
      <xdr:col>22</xdr:col>
      <xdr:colOff>506552</xdr:colOff>
      <xdr:row>44</xdr:row>
      <xdr:rowOff>156881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4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57246" y="1078565"/>
          <a:ext cx="8894156" cy="7288866"/>
        </a:xfrm>
        <a:prstGeom prst="rect">
          <a:avLst/>
        </a:prstGeom>
      </xdr:spPr>
    </xdr:pic>
    <xdr:clientData/>
  </xdr:twoCellAnchor>
  <xdr:twoCellAnchor editAs="oneCell">
    <xdr:from>
      <xdr:col>22</xdr:col>
      <xdr:colOff>280147</xdr:colOff>
      <xdr:row>5</xdr:row>
      <xdr:rowOff>78440</xdr:rowOff>
    </xdr:from>
    <xdr:to>
      <xdr:col>29</xdr:col>
      <xdr:colOff>33617</xdr:colOff>
      <xdr:row>43</xdr:row>
      <xdr:rowOff>61756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4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224997" y="1078565"/>
          <a:ext cx="5087470" cy="7003241"/>
        </a:xfrm>
        <a:prstGeom prst="rect">
          <a:avLst/>
        </a:prstGeom>
      </xdr:spPr>
    </xdr:pic>
    <xdr:clientData/>
  </xdr:twoCellAnchor>
  <xdr:twoCellAnchor editAs="oneCell">
    <xdr:from>
      <xdr:col>31</xdr:col>
      <xdr:colOff>67236</xdr:colOff>
      <xdr:row>24</xdr:row>
      <xdr:rowOff>156882</xdr:rowOff>
    </xdr:from>
    <xdr:to>
      <xdr:col>35</xdr:col>
      <xdr:colOff>272037</xdr:colOff>
      <xdr:row>43</xdr:row>
      <xdr:rowOff>185966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4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889011" y="4557432"/>
          <a:ext cx="6119826" cy="3648584"/>
        </a:xfrm>
        <a:prstGeom prst="rect">
          <a:avLst/>
        </a:prstGeom>
      </xdr:spPr>
    </xdr:pic>
    <xdr:clientData/>
  </xdr:twoCellAnchor>
  <xdr:twoCellAnchor editAs="oneCell">
    <xdr:from>
      <xdr:col>31</xdr:col>
      <xdr:colOff>123265</xdr:colOff>
      <xdr:row>45</xdr:row>
      <xdr:rowOff>78441</xdr:rowOff>
    </xdr:from>
    <xdr:to>
      <xdr:col>39</xdr:col>
      <xdr:colOff>86186</xdr:colOff>
      <xdr:row>69</xdr:row>
      <xdr:rowOff>91858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4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945040" y="8479491"/>
          <a:ext cx="8463303" cy="3785317"/>
        </a:xfrm>
        <a:prstGeom prst="rect">
          <a:avLst/>
        </a:prstGeom>
      </xdr:spPr>
    </xdr:pic>
    <xdr:clientData/>
  </xdr:twoCellAnchor>
  <xdr:twoCellAnchor editAs="oneCell">
    <xdr:from>
      <xdr:col>22</xdr:col>
      <xdr:colOff>381000</xdr:colOff>
      <xdr:row>2</xdr:row>
      <xdr:rowOff>173182</xdr:rowOff>
    </xdr:from>
    <xdr:to>
      <xdr:col>26</xdr:col>
      <xdr:colOff>691442</xdr:colOff>
      <xdr:row>4</xdr:row>
      <xdr:rowOff>173182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4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331045" y="606137"/>
          <a:ext cx="3358442" cy="381000"/>
        </a:xfrm>
        <a:prstGeom prst="rect">
          <a:avLst/>
        </a:prstGeom>
      </xdr:spPr>
    </xdr:pic>
    <xdr:clientData/>
  </xdr:twoCellAnchor>
  <xdr:twoCellAnchor editAs="oneCell">
    <xdr:from>
      <xdr:col>17</xdr:col>
      <xdr:colOff>625928</xdr:colOff>
      <xdr:row>57</xdr:row>
      <xdr:rowOff>68037</xdr:rowOff>
    </xdr:from>
    <xdr:to>
      <xdr:col>21</xdr:col>
      <xdr:colOff>27215</xdr:colOff>
      <xdr:row>71</xdr:row>
      <xdr:rowOff>96180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09071" y="10341430"/>
          <a:ext cx="2503715" cy="2368571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1238250</xdr:colOff>
      <xdr:row>57</xdr:row>
      <xdr:rowOff>149678</xdr:rowOff>
    </xdr:from>
    <xdr:to>
      <xdr:col>9</xdr:col>
      <xdr:colOff>149679</xdr:colOff>
      <xdr:row>70</xdr:row>
      <xdr:rowOff>162709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4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42357" y="10423071"/>
          <a:ext cx="6164036" cy="2162959"/>
        </a:xfrm>
        <a:prstGeom prst="rect">
          <a:avLst/>
        </a:prstGeom>
      </xdr:spPr>
    </xdr:pic>
    <xdr:clientData/>
  </xdr:twoCellAnchor>
  <xdr:twoCellAnchor>
    <xdr:from>
      <xdr:col>32</xdr:col>
      <xdr:colOff>530678</xdr:colOff>
      <xdr:row>72</xdr:row>
      <xdr:rowOff>40822</xdr:rowOff>
    </xdr:from>
    <xdr:to>
      <xdr:col>40</xdr:col>
      <xdr:colOff>404719</xdr:colOff>
      <xdr:row>93</xdr:row>
      <xdr:rowOff>149680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66DE1648-D57D-4F92-9A2D-251F49901976}"/>
            </a:ext>
          </a:extLst>
        </xdr:cNvPr>
        <xdr:cNvGrpSpPr/>
      </xdr:nvGrpSpPr>
      <xdr:grpSpPr>
        <a:xfrm>
          <a:off x="23313117" y="12845143"/>
          <a:ext cx="8183923" cy="4109358"/>
          <a:chOff x="21199929" y="7892143"/>
          <a:chExt cx="10477500" cy="5402036"/>
        </a:xfrm>
      </xdr:grpSpPr>
      <xdr:grpSp>
        <xdr:nvGrpSpPr>
          <xdr:cNvPr id="16" name="Gruppieren 15">
            <a:extLst>
              <a:ext uri="{FF2B5EF4-FFF2-40B4-BE49-F238E27FC236}">
                <a16:creationId xmlns:a16="http://schemas.microsoft.com/office/drawing/2014/main" id="{E1F4A471-F8FD-48C2-94A5-376A74F2CF21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18" name="Grafik 17">
              <a:extLst>
                <a:ext uri="{FF2B5EF4-FFF2-40B4-BE49-F238E27FC236}">
                  <a16:creationId xmlns:a16="http://schemas.microsoft.com/office/drawing/2014/main" id="{E112EB1E-F66C-4474-B2CE-7ED2FED7B79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19" name="Grafik 18">
              <a:extLst>
                <a:ext uri="{FF2B5EF4-FFF2-40B4-BE49-F238E27FC236}">
                  <a16:creationId xmlns:a16="http://schemas.microsoft.com/office/drawing/2014/main" id="{83164180-293D-4E9D-982F-B0A966D16F9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20" name="Gleichschenkliges Dreieck 19">
              <a:extLst>
                <a:ext uri="{FF2B5EF4-FFF2-40B4-BE49-F238E27FC236}">
                  <a16:creationId xmlns:a16="http://schemas.microsoft.com/office/drawing/2014/main" id="{687763BF-A706-4D6A-B755-F4CD5D982DCD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1" name="Rechteck 20">
              <a:extLst>
                <a:ext uri="{FF2B5EF4-FFF2-40B4-BE49-F238E27FC236}">
                  <a16:creationId xmlns:a16="http://schemas.microsoft.com/office/drawing/2014/main" id="{D4D1577C-9D3B-4D2D-8967-17AFBEFEE5A0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22" name="Rechteck 21">
              <a:extLst>
                <a:ext uri="{FF2B5EF4-FFF2-40B4-BE49-F238E27FC236}">
                  <a16:creationId xmlns:a16="http://schemas.microsoft.com/office/drawing/2014/main" id="{A5B62489-BDAA-457D-8165-8FDAB5E6746D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17" name="Rechteck 16">
            <a:extLst>
              <a:ext uri="{FF2B5EF4-FFF2-40B4-BE49-F238E27FC236}">
                <a16:creationId xmlns:a16="http://schemas.microsoft.com/office/drawing/2014/main" id="{DEF0D60A-7A0F-4670-A16C-E669340C1256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36</xdr:col>
      <xdr:colOff>122465</xdr:colOff>
      <xdr:row>11</xdr:row>
      <xdr:rowOff>163285</xdr:rowOff>
    </xdr:from>
    <xdr:to>
      <xdr:col>40</xdr:col>
      <xdr:colOff>353787</xdr:colOff>
      <xdr:row>72</xdr:row>
      <xdr:rowOff>13610</xdr:rowOff>
    </xdr:to>
    <xdr:cxnSp macro="">
      <xdr:nvCxnSpPr>
        <xdr:cNvPr id="23" name="Verbinder: gekrümmt 22">
          <a:extLst>
            <a:ext uri="{FF2B5EF4-FFF2-40B4-BE49-F238E27FC236}">
              <a16:creationId xmlns:a16="http://schemas.microsoft.com/office/drawing/2014/main" id="{BEFD9EFF-BE67-4A0F-8685-DF104AFA5743}"/>
            </a:ext>
          </a:extLst>
        </xdr:cNvPr>
        <xdr:cNvCxnSpPr/>
      </xdr:nvCxnSpPr>
      <xdr:spPr>
        <a:xfrm rot="16200000" flipH="1">
          <a:off x="24452034" y="5823858"/>
          <a:ext cx="10708825" cy="3279322"/>
        </a:xfrm>
        <a:prstGeom prst="curvedConnector3">
          <a:avLst>
            <a:gd name="adj1" fmla="val -63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268941</xdr:colOff>
      <xdr:row>22</xdr:row>
      <xdr:rowOff>56029</xdr:rowOff>
    </xdr:from>
    <xdr:to>
      <xdr:col>12</xdr:col>
      <xdr:colOff>261219</xdr:colOff>
      <xdr:row>31</xdr:row>
      <xdr:rowOff>155609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735" y="4000500"/>
          <a:ext cx="1762808" cy="1702021"/>
        </a:xfrm>
        <a:prstGeom prst="rect">
          <a:avLst/>
        </a:prstGeom>
      </xdr:spPr>
    </xdr:pic>
    <xdr:clientData/>
  </xdr:twoCellAnchor>
  <xdr:twoCellAnchor editAs="oneCell">
    <xdr:from>
      <xdr:col>9</xdr:col>
      <xdr:colOff>85227</xdr:colOff>
      <xdr:row>10</xdr:row>
      <xdr:rowOff>1</xdr:rowOff>
    </xdr:from>
    <xdr:to>
      <xdr:col>15</xdr:col>
      <xdr:colOff>498234</xdr:colOff>
      <xdr:row>18</xdr:row>
      <xdr:rowOff>57151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4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33702" y="1914526"/>
          <a:ext cx="4470657" cy="1238250"/>
        </a:xfrm>
        <a:prstGeom prst="rect">
          <a:avLst/>
        </a:prstGeom>
      </xdr:spPr>
    </xdr:pic>
    <xdr:clientData/>
  </xdr:twoCellAnchor>
  <xdr:twoCellAnchor editAs="oneCell">
    <xdr:from>
      <xdr:col>15</xdr:col>
      <xdr:colOff>695325</xdr:colOff>
      <xdr:row>8</xdr:row>
      <xdr:rowOff>161925</xdr:rowOff>
    </xdr:from>
    <xdr:to>
      <xdr:col>17</xdr:col>
      <xdr:colOff>585391</xdr:colOff>
      <xdr:row>43</xdr:row>
      <xdr:rowOff>176843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01450" y="1809750"/>
          <a:ext cx="2137966" cy="5611136"/>
        </a:xfrm>
        <a:prstGeom prst="rect">
          <a:avLst/>
        </a:prstGeom>
      </xdr:spPr>
    </xdr:pic>
    <xdr:clientData/>
  </xdr:twoCellAnchor>
  <xdr:twoCellAnchor>
    <xdr:from>
      <xdr:col>13</xdr:col>
      <xdr:colOff>590550</xdr:colOff>
      <xdr:row>12</xdr:row>
      <xdr:rowOff>123825</xdr:rowOff>
    </xdr:from>
    <xdr:to>
      <xdr:col>14</xdr:col>
      <xdr:colOff>352425</xdr:colOff>
      <xdr:row>14</xdr:row>
      <xdr:rowOff>89807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/>
      </xdr:nvSpPr>
      <xdr:spPr>
        <a:xfrm>
          <a:off x="9972675" y="2305050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20</xdr:row>
      <xdr:rowOff>171450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4A00-000006000000}"/>
            </a:ext>
          </a:extLst>
        </xdr:cNvPr>
        <xdr:cNvCxnSpPr/>
      </xdr:nvCxnSpPr>
      <xdr:spPr>
        <a:xfrm flipV="1">
          <a:off x="8877300" y="2752725"/>
          <a:ext cx="276225" cy="1085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723900</xdr:colOff>
      <xdr:row>21</xdr:row>
      <xdr:rowOff>19050</xdr:rowOff>
    </xdr:from>
    <xdr:to>
      <xdr:col>12</xdr:col>
      <xdr:colOff>209550</xdr:colOff>
      <xdr:row>26</xdr:row>
      <xdr:rowOff>47625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4A00-000007000000}"/>
            </a:ext>
          </a:extLst>
        </xdr:cNvPr>
        <xdr:cNvSpPr/>
      </xdr:nvSpPr>
      <xdr:spPr>
        <a:xfrm>
          <a:off x="8582025" y="3876675"/>
          <a:ext cx="247650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15</xdr:col>
      <xdr:colOff>733425</xdr:colOff>
      <xdr:row>26</xdr:row>
      <xdr:rowOff>76201</xdr:rowOff>
    </xdr:from>
    <xdr:to>
      <xdr:col>15</xdr:col>
      <xdr:colOff>962025</xdr:colOff>
      <xdr:row>28</xdr:row>
      <xdr:rowOff>19051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4A00-000008000000}"/>
            </a:ext>
          </a:extLst>
        </xdr:cNvPr>
        <xdr:cNvSpPr/>
      </xdr:nvSpPr>
      <xdr:spPr>
        <a:xfrm>
          <a:off x="11639550" y="4657726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38100</xdr:colOff>
      <xdr:row>2</xdr:row>
      <xdr:rowOff>28575</xdr:rowOff>
    </xdr:from>
    <xdr:to>
      <xdr:col>4</xdr:col>
      <xdr:colOff>150935</xdr:colOff>
      <xdr:row>4</xdr:row>
      <xdr:rowOff>184459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4A00-000009000000}"/>
            </a:ext>
          </a:extLst>
        </xdr:cNvPr>
        <xdr:cNvGrpSpPr/>
      </xdr:nvGrpSpPr>
      <xdr:grpSpPr>
        <a:xfrm>
          <a:off x="800100" y="409575"/>
          <a:ext cx="2802247" cy="615325"/>
          <a:chOff x="769327" y="402981"/>
          <a:chExt cx="2798885" cy="536884"/>
        </a:xfrm>
      </xdr:grpSpPr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4A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69327" y="681405"/>
            <a:ext cx="2710961" cy="258460"/>
          </a:xfrm>
          <a:prstGeom prst="rect">
            <a:avLst/>
          </a:prstGeom>
        </xdr:spPr>
      </xdr:pic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4A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69327" y="402981"/>
            <a:ext cx="2798885" cy="256564"/>
          </a:xfrm>
          <a:prstGeom prst="rect">
            <a:avLst/>
          </a:prstGeom>
        </xdr:spPr>
      </xdr:pic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63847" y="1105308"/>
          <a:ext cx="1647825" cy="2801826"/>
        </a:xfrm>
        <a:prstGeom prst="rect">
          <a:avLst/>
        </a:prstGeom>
      </xdr:spPr>
    </xdr:pic>
    <xdr:clientData/>
  </xdr:twoCellAnchor>
  <xdr:twoCellAnchor editAs="oneCell">
    <xdr:from>
      <xdr:col>2</xdr:col>
      <xdr:colOff>243727</xdr:colOff>
      <xdr:row>3</xdr:row>
      <xdr:rowOff>69475</xdr:rowOff>
    </xdr:from>
    <xdr:to>
      <xdr:col>5</xdr:col>
      <xdr:colOff>299443</xdr:colOff>
      <xdr:row>45</xdr:row>
      <xdr:rowOff>44823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0177" y="688600"/>
          <a:ext cx="2960841" cy="7757273"/>
        </a:xfrm>
        <a:prstGeom prst="rect">
          <a:avLst/>
        </a:prstGeom>
      </xdr:spPr>
    </xdr:pic>
    <xdr:clientData/>
  </xdr:twoCellAnchor>
  <xdr:twoCellAnchor editAs="oneCell">
    <xdr:from>
      <xdr:col>23</xdr:col>
      <xdr:colOff>403413</xdr:colOff>
      <xdr:row>51</xdr:row>
      <xdr:rowOff>79889</xdr:rowOff>
    </xdr:from>
    <xdr:to>
      <xdr:col>28</xdr:col>
      <xdr:colOff>381001</xdr:colOff>
      <xdr:row>53</xdr:row>
      <xdr:rowOff>173182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88665"/>
        <a:stretch/>
      </xdr:blipFill>
      <xdr:spPr>
        <a:xfrm>
          <a:off x="17115458" y="9379753"/>
          <a:ext cx="3787588" cy="353065"/>
        </a:xfrm>
        <a:prstGeom prst="rect">
          <a:avLst/>
        </a:prstGeom>
      </xdr:spPr>
    </xdr:pic>
    <xdr:clientData/>
  </xdr:twoCellAnchor>
  <xdr:twoCellAnchor editAs="oneCell">
    <xdr:from>
      <xdr:col>31</xdr:col>
      <xdr:colOff>50785</xdr:colOff>
      <xdr:row>23</xdr:row>
      <xdr:rowOff>20068</xdr:rowOff>
    </xdr:from>
    <xdr:to>
      <xdr:col>35</xdr:col>
      <xdr:colOff>255586</xdr:colOff>
      <xdr:row>25</xdr:row>
      <xdr:rowOff>17318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4B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-283" t="-475" r="283" b="90108"/>
        <a:stretch/>
      </xdr:blipFill>
      <xdr:spPr>
        <a:xfrm>
          <a:off x="21889012" y="4228386"/>
          <a:ext cx="6118960" cy="378250"/>
        </a:xfrm>
        <a:prstGeom prst="rect">
          <a:avLst/>
        </a:prstGeom>
      </xdr:spPr>
    </xdr:pic>
    <xdr:clientData/>
  </xdr:twoCellAnchor>
  <xdr:twoCellAnchor editAs="oneCell">
    <xdr:from>
      <xdr:col>30</xdr:col>
      <xdr:colOff>120667</xdr:colOff>
      <xdr:row>44</xdr:row>
      <xdr:rowOff>111346</xdr:rowOff>
    </xdr:from>
    <xdr:to>
      <xdr:col>38</xdr:col>
      <xdr:colOff>603134</xdr:colOff>
      <xdr:row>46</xdr:row>
      <xdr:rowOff>103909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4B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0003"/>
        <a:stretch/>
      </xdr:blipFill>
      <xdr:spPr>
        <a:xfrm>
          <a:off x="21716440" y="8320164"/>
          <a:ext cx="8462437" cy="373563"/>
        </a:xfrm>
        <a:prstGeom prst="rect">
          <a:avLst/>
        </a:prstGeom>
      </xdr:spPr>
    </xdr:pic>
    <xdr:clientData/>
  </xdr:twoCellAnchor>
  <xdr:twoCellAnchor editAs="oneCell">
    <xdr:from>
      <xdr:col>1</xdr:col>
      <xdr:colOff>1662545</xdr:colOff>
      <xdr:row>56</xdr:row>
      <xdr:rowOff>51954</xdr:rowOff>
    </xdr:from>
    <xdr:to>
      <xdr:col>11</xdr:col>
      <xdr:colOff>277090</xdr:colOff>
      <xdr:row>71</xdr:row>
      <xdr:rowOff>158813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4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70363" y="10061863"/>
          <a:ext cx="6875318" cy="2600677"/>
        </a:xfrm>
        <a:prstGeom prst="rect">
          <a:avLst/>
        </a:prstGeom>
      </xdr:spPr>
    </xdr:pic>
    <xdr:clientData/>
  </xdr:twoCellAnchor>
  <xdr:twoCellAnchor editAs="oneCell">
    <xdr:from>
      <xdr:col>10</xdr:col>
      <xdr:colOff>484909</xdr:colOff>
      <xdr:row>2</xdr:row>
      <xdr:rowOff>103909</xdr:rowOff>
    </xdr:from>
    <xdr:to>
      <xdr:col>16</xdr:col>
      <xdr:colOff>223851</xdr:colOff>
      <xdr:row>4</xdr:row>
      <xdr:rowOff>103909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4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91500" y="536864"/>
          <a:ext cx="3358442" cy="381000"/>
        </a:xfrm>
        <a:prstGeom prst="rect">
          <a:avLst/>
        </a:prstGeom>
      </xdr:spPr>
    </xdr:pic>
    <xdr:clientData/>
  </xdr:twoCellAnchor>
  <xdr:twoCellAnchor editAs="oneCell">
    <xdr:from>
      <xdr:col>17</xdr:col>
      <xdr:colOff>176894</xdr:colOff>
      <xdr:row>56</xdr:row>
      <xdr:rowOff>108857</xdr:rowOff>
    </xdr:from>
    <xdr:to>
      <xdr:col>21</xdr:col>
      <xdr:colOff>231322</xdr:colOff>
      <xdr:row>74</xdr:row>
      <xdr:rowOff>54427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260037" y="10191750"/>
          <a:ext cx="3156856" cy="3047998"/>
        </a:xfrm>
        <a:prstGeom prst="rect">
          <a:avLst/>
        </a:prstGeom>
      </xdr:spPr>
    </xdr:pic>
    <xdr:clientData/>
  </xdr:twoCellAnchor>
  <xdr:twoCellAnchor editAs="oneCell">
    <xdr:from>
      <xdr:col>24</xdr:col>
      <xdr:colOff>328203</xdr:colOff>
      <xdr:row>55</xdr:row>
      <xdr:rowOff>0</xdr:rowOff>
    </xdr:from>
    <xdr:to>
      <xdr:col>27</xdr:col>
      <xdr:colOff>318298</xdr:colOff>
      <xdr:row>73</xdr:row>
      <xdr:rowOff>127404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799774" y="9892393"/>
          <a:ext cx="2276095" cy="3229832"/>
        </a:xfrm>
        <a:prstGeom prst="rect">
          <a:avLst/>
        </a:prstGeom>
      </xdr:spPr>
    </xdr:pic>
    <xdr:clientData/>
  </xdr:twoCellAnchor>
  <xdr:twoCellAnchor editAs="oneCell">
    <xdr:from>
      <xdr:col>10</xdr:col>
      <xdr:colOff>68035</xdr:colOff>
      <xdr:row>4</xdr:row>
      <xdr:rowOff>108856</xdr:rowOff>
    </xdr:from>
    <xdr:to>
      <xdr:col>17</xdr:col>
      <xdr:colOff>741398</xdr:colOff>
      <xdr:row>43</xdr:row>
      <xdr:rowOff>1878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4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56071" y="925285"/>
          <a:ext cx="5068470" cy="7118414"/>
        </a:xfrm>
        <a:prstGeom prst="rect">
          <a:avLst/>
        </a:prstGeom>
      </xdr:spPr>
    </xdr:pic>
    <xdr:clientData/>
  </xdr:twoCellAnchor>
  <xdr:twoCellAnchor>
    <xdr:from>
      <xdr:col>18</xdr:col>
      <xdr:colOff>68036</xdr:colOff>
      <xdr:row>4</xdr:row>
      <xdr:rowOff>138793</xdr:rowOff>
    </xdr:from>
    <xdr:to>
      <xdr:col>28</xdr:col>
      <xdr:colOff>404593</xdr:colOff>
      <xdr:row>44</xdr:row>
      <xdr:rowOff>45015</xdr:rowOff>
    </xdr:to>
    <xdr:grpSp>
      <xdr:nvGrpSpPr>
        <xdr:cNvPr id="22" name="Gruppieren 21">
          <a:extLst>
            <a:ext uri="{FF2B5EF4-FFF2-40B4-BE49-F238E27FC236}">
              <a16:creationId xmlns:a16="http://schemas.microsoft.com/office/drawing/2014/main" id="{00000000-0008-0000-4B00-000016000000}"/>
            </a:ext>
          </a:extLst>
        </xdr:cNvPr>
        <xdr:cNvGrpSpPr/>
      </xdr:nvGrpSpPr>
      <xdr:grpSpPr>
        <a:xfrm>
          <a:off x="12967607" y="955222"/>
          <a:ext cx="7956557" cy="7322114"/>
          <a:chOff x="12926786" y="941615"/>
          <a:chExt cx="7956557" cy="7322114"/>
        </a:xfrm>
      </xdr:grpSpPr>
      <xdr:pic>
        <xdr:nvPicPr>
          <xdr:cNvPr id="20" name="Grafik 19">
            <a:extLst>
              <a:ext uri="{FF2B5EF4-FFF2-40B4-BE49-F238E27FC236}">
                <a16:creationId xmlns:a16="http://schemas.microsoft.com/office/drawing/2014/main" id="{00000000-0008-0000-4B00-00001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r="61742"/>
          <a:stretch/>
        </xdr:blipFill>
        <xdr:spPr>
          <a:xfrm>
            <a:off x="12926786" y="952501"/>
            <a:ext cx="3469821" cy="7311228"/>
          </a:xfrm>
          <a:prstGeom prst="rect">
            <a:avLst/>
          </a:prstGeom>
        </xdr:spPr>
      </xdr:pic>
      <xdr:pic>
        <xdr:nvPicPr>
          <xdr:cNvPr id="21" name="Grafik 20">
            <a:extLst>
              <a:ext uri="{FF2B5EF4-FFF2-40B4-BE49-F238E27FC236}">
                <a16:creationId xmlns:a16="http://schemas.microsoft.com/office/drawing/2014/main" id="{00000000-0008-0000-4B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l="54581"/>
          <a:stretch/>
        </xdr:blipFill>
        <xdr:spPr>
          <a:xfrm>
            <a:off x="16763998" y="941615"/>
            <a:ext cx="4119345" cy="7311228"/>
          </a:xfrm>
          <a:prstGeom prst="rect">
            <a:avLst/>
          </a:prstGeom>
        </xdr:spPr>
      </xdr:pic>
    </xdr:grpSp>
    <xdr:clientData/>
  </xdr:twoCellAnchor>
  <xdr:twoCellAnchor editAs="oneCell">
    <xdr:from>
      <xdr:col>30</xdr:col>
      <xdr:colOff>68036</xdr:colOff>
      <xdr:row>25</xdr:row>
      <xdr:rowOff>0</xdr:rowOff>
    </xdr:from>
    <xdr:to>
      <xdr:col>35</xdr:col>
      <xdr:colOff>1</xdr:colOff>
      <xdr:row>42</xdr:row>
      <xdr:rowOff>88625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4B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740"/>
        <a:stretch/>
      </xdr:blipFill>
      <xdr:spPr>
        <a:xfrm>
          <a:off x="21648965" y="4612821"/>
          <a:ext cx="6096000" cy="3327125"/>
        </a:xfrm>
        <a:prstGeom prst="rect">
          <a:avLst/>
        </a:prstGeom>
      </xdr:spPr>
    </xdr:pic>
    <xdr:clientData/>
  </xdr:twoCellAnchor>
  <xdr:twoCellAnchor>
    <xdr:from>
      <xdr:col>30</xdr:col>
      <xdr:colOff>1</xdr:colOff>
      <xdr:row>46</xdr:row>
      <xdr:rowOff>149679</xdr:rowOff>
    </xdr:from>
    <xdr:to>
      <xdr:col>37</xdr:col>
      <xdr:colOff>680358</xdr:colOff>
      <xdr:row>62</xdr:row>
      <xdr:rowOff>57644</xdr:rowOff>
    </xdr:to>
    <xdr:grpSp>
      <xdr:nvGrpSpPr>
        <xdr:cNvPr id="26" name="Gruppieren 25">
          <a:extLst>
            <a:ext uri="{FF2B5EF4-FFF2-40B4-BE49-F238E27FC236}">
              <a16:creationId xmlns:a16="http://schemas.microsoft.com/office/drawing/2014/main" id="{00000000-0008-0000-4B00-00001A000000}"/>
            </a:ext>
          </a:extLst>
        </xdr:cNvPr>
        <xdr:cNvGrpSpPr/>
      </xdr:nvGrpSpPr>
      <xdr:grpSpPr>
        <a:xfrm>
          <a:off x="21580930" y="8763000"/>
          <a:ext cx="7905749" cy="2520537"/>
          <a:chOff x="19172464" y="10586357"/>
          <a:chExt cx="8558016" cy="2984462"/>
        </a:xfrm>
      </xdr:grpSpPr>
      <xdr:pic>
        <xdr:nvPicPr>
          <xdr:cNvPr id="24" name="Grafik 23">
            <a:extLst>
              <a:ext uri="{FF2B5EF4-FFF2-40B4-BE49-F238E27FC236}">
                <a16:creationId xmlns:a16="http://schemas.microsoft.com/office/drawing/2014/main" id="{00000000-0008-0000-4B00-00001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/>
          <a:srcRect r="86828"/>
          <a:stretch/>
        </xdr:blipFill>
        <xdr:spPr>
          <a:xfrm>
            <a:off x="19172464" y="10586357"/>
            <a:ext cx="1741715" cy="2981741"/>
          </a:xfrm>
          <a:prstGeom prst="rect">
            <a:avLst/>
          </a:prstGeom>
        </xdr:spPr>
      </xdr:pic>
      <xdr:pic>
        <xdr:nvPicPr>
          <xdr:cNvPr id="25" name="Grafik 24">
            <a:extLst>
              <a:ext uri="{FF2B5EF4-FFF2-40B4-BE49-F238E27FC236}">
                <a16:creationId xmlns:a16="http://schemas.microsoft.com/office/drawing/2014/main" id="{00000000-0008-0000-4B00-00001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/>
          <a:srcRect l="48449"/>
          <a:stretch/>
        </xdr:blipFill>
        <xdr:spPr>
          <a:xfrm>
            <a:off x="20914179" y="10589078"/>
            <a:ext cx="6816301" cy="2981741"/>
          </a:xfrm>
          <a:prstGeom prst="rect">
            <a:avLst/>
          </a:prstGeom>
        </xdr:spPr>
      </xdr:pic>
    </xdr:grpSp>
    <xdr:clientData/>
  </xdr:twoCellAnchor>
  <xdr:twoCellAnchor>
    <xdr:from>
      <xdr:col>31</xdr:col>
      <xdr:colOff>557893</xdr:colOff>
      <xdr:row>66</xdr:row>
      <xdr:rowOff>54429</xdr:rowOff>
    </xdr:from>
    <xdr:to>
      <xdr:col>39</xdr:col>
      <xdr:colOff>227827</xdr:colOff>
      <xdr:row>88</xdr:row>
      <xdr:rowOff>81645</xdr:rowOff>
    </xdr:to>
    <xdr:grpSp>
      <xdr:nvGrpSpPr>
        <xdr:cNvPr id="27" name="Gruppieren 26">
          <a:extLst>
            <a:ext uri="{FF2B5EF4-FFF2-40B4-BE49-F238E27FC236}">
              <a16:creationId xmlns:a16="http://schemas.microsoft.com/office/drawing/2014/main" id="{D0E7C2C5-B3F2-46E1-A977-ABB23A7BC50C}"/>
            </a:ext>
          </a:extLst>
        </xdr:cNvPr>
        <xdr:cNvGrpSpPr/>
      </xdr:nvGrpSpPr>
      <xdr:grpSpPr>
        <a:xfrm>
          <a:off x="22383750" y="11824608"/>
          <a:ext cx="8174398" cy="4109358"/>
          <a:chOff x="21199929" y="7892143"/>
          <a:chExt cx="10477500" cy="5402036"/>
        </a:xfrm>
      </xdr:grpSpPr>
      <xdr:grpSp>
        <xdr:nvGrpSpPr>
          <xdr:cNvPr id="28" name="Gruppieren 27">
            <a:extLst>
              <a:ext uri="{FF2B5EF4-FFF2-40B4-BE49-F238E27FC236}">
                <a16:creationId xmlns:a16="http://schemas.microsoft.com/office/drawing/2014/main" id="{A837AD7D-B172-4AF4-BB93-7322A3CBD1C4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30" name="Grafik 29">
              <a:extLst>
                <a:ext uri="{FF2B5EF4-FFF2-40B4-BE49-F238E27FC236}">
                  <a16:creationId xmlns:a16="http://schemas.microsoft.com/office/drawing/2014/main" id="{CF268C61-7871-4095-BE69-2400417BBF2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31" name="Grafik 30">
              <a:extLst>
                <a:ext uri="{FF2B5EF4-FFF2-40B4-BE49-F238E27FC236}">
                  <a16:creationId xmlns:a16="http://schemas.microsoft.com/office/drawing/2014/main" id="{4DE7F671-6BD2-4524-862B-889CA598448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32" name="Gleichschenkliges Dreieck 31">
              <a:extLst>
                <a:ext uri="{FF2B5EF4-FFF2-40B4-BE49-F238E27FC236}">
                  <a16:creationId xmlns:a16="http://schemas.microsoft.com/office/drawing/2014/main" id="{EA204AC1-EC2D-45E1-AE77-49590F26C850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33" name="Rechteck 32">
              <a:extLst>
                <a:ext uri="{FF2B5EF4-FFF2-40B4-BE49-F238E27FC236}">
                  <a16:creationId xmlns:a16="http://schemas.microsoft.com/office/drawing/2014/main" id="{4F378307-19BC-44F1-B2A8-906B68575579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34" name="Rechteck 33">
              <a:extLst>
                <a:ext uri="{FF2B5EF4-FFF2-40B4-BE49-F238E27FC236}">
                  <a16:creationId xmlns:a16="http://schemas.microsoft.com/office/drawing/2014/main" id="{69EEDD80-FADD-47E5-B34C-776BF7B1F4BD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29" name="Rechteck 28">
            <a:extLst>
              <a:ext uri="{FF2B5EF4-FFF2-40B4-BE49-F238E27FC236}">
                <a16:creationId xmlns:a16="http://schemas.microsoft.com/office/drawing/2014/main" id="{2C27A3DB-F8CA-4548-B095-C1984FBB0615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35</xdr:col>
      <xdr:colOff>285752</xdr:colOff>
      <xdr:row>12</xdr:row>
      <xdr:rowOff>3</xdr:rowOff>
    </xdr:from>
    <xdr:to>
      <xdr:col>39</xdr:col>
      <xdr:colOff>95248</xdr:colOff>
      <xdr:row>66</xdr:row>
      <xdr:rowOff>13607</xdr:rowOff>
    </xdr:to>
    <xdr:cxnSp macro="">
      <xdr:nvCxnSpPr>
        <xdr:cNvPr id="35" name="Verbinder: gekrümmt 34">
          <a:extLst>
            <a:ext uri="{FF2B5EF4-FFF2-40B4-BE49-F238E27FC236}">
              <a16:creationId xmlns:a16="http://schemas.microsoft.com/office/drawing/2014/main" id="{F677B723-B782-4483-A305-25651461AD06}"/>
            </a:ext>
          </a:extLst>
        </xdr:cNvPr>
        <xdr:cNvCxnSpPr/>
      </xdr:nvCxnSpPr>
      <xdr:spPr>
        <a:xfrm rot="16200000" flipH="1">
          <a:off x="24404412" y="5762628"/>
          <a:ext cx="9647462" cy="2394853"/>
        </a:xfrm>
        <a:prstGeom prst="curvedConnector3">
          <a:avLst>
            <a:gd name="adj1" fmla="val 70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8</xdr:row>
      <xdr:rowOff>123825</xdr:rowOff>
    </xdr:from>
    <xdr:to>
      <xdr:col>15</xdr:col>
      <xdr:colOff>657225</xdr:colOff>
      <xdr:row>19</xdr:row>
      <xdr:rowOff>3450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4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1771650"/>
          <a:ext cx="4524375" cy="1403625"/>
        </a:xfrm>
        <a:prstGeom prst="rect">
          <a:avLst/>
        </a:prstGeom>
      </xdr:spPr>
    </xdr:pic>
    <xdr:clientData/>
  </xdr:twoCellAnchor>
  <xdr:twoCellAnchor editAs="oneCell">
    <xdr:from>
      <xdr:col>15</xdr:col>
      <xdr:colOff>695325</xdr:colOff>
      <xdr:row>8</xdr:row>
      <xdr:rowOff>161925</xdr:rowOff>
    </xdr:from>
    <xdr:to>
      <xdr:col>17</xdr:col>
      <xdr:colOff>585391</xdr:colOff>
      <xdr:row>43</xdr:row>
      <xdr:rowOff>176843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01450" y="1809750"/>
          <a:ext cx="2137966" cy="5611136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23</xdr:row>
      <xdr:rowOff>28575</xdr:rowOff>
    </xdr:from>
    <xdr:to>
      <xdr:col>12</xdr:col>
      <xdr:colOff>223812</xdr:colOff>
      <xdr:row>33</xdr:row>
      <xdr:rowOff>135591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7058025" y="4152900"/>
          <a:ext cx="1785912" cy="1781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13</xdr:col>
      <xdr:colOff>704850</xdr:colOff>
      <xdr:row>11</xdr:row>
      <xdr:rowOff>38100</xdr:rowOff>
    </xdr:from>
    <xdr:to>
      <xdr:col>14</xdr:col>
      <xdr:colOff>466725</xdr:colOff>
      <xdr:row>13</xdr:row>
      <xdr:rowOff>4082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/>
      </xdr:nvSpPr>
      <xdr:spPr>
        <a:xfrm>
          <a:off x="10086975" y="2143125"/>
          <a:ext cx="523875" cy="23268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12</xdr:col>
      <xdr:colOff>257175</xdr:colOff>
      <xdr:row>16</xdr:row>
      <xdr:rowOff>38100</xdr:rowOff>
    </xdr:from>
    <xdr:to>
      <xdr:col>12</xdr:col>
      <xdr:colOff>533400</xdr:colOff>
      <xdr:row>22</xdr:row>
      <xdr:rowOff>171450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4C00-000006000000}"/>
            </a:ext>
          </a:extLst>
        </xdr:cNvPr>
        <xdr:cNvCxnSpPr/>
      </xdr:nvCxnSpPr>
      <xdr:spPr>
        <a:xfrm flipV="1">
          <a:off x="8877300" y="2752725"/>
          <a:ext cx="276225" cy="1352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723900</xdr:colOff>
      <xdr:row>23</xdr:row>
      <xdr:rowOff>19050</xdr:rowOff>
    </xdr:from>
    <xdr:to>
      <xdr:col>12</xdr:col>
      <xdr:colOff>209550</xdr:colOff>
      <xdr:row>28</xdr:row>
      <xdr:rowOff>47625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4C00-000007000000}"/>
            </a:ext>
          </a:extLst>
        </xdr:cNvPr>
        <xdr:cNvSpPr/>
      </xdr:nvSpPr>
      <xdr:spPr>
        <a:xfrm>
          <a:off x="8582025" y="4143375"/>
          <a:ext cx="247650" cy="7524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15</xdr:col>
      <xdr:colOff>733425</xdr:colOff>
      <xdr:row>26</xdr:row>
      <xdr:rowOff>133351</xdr:rowOff>
    </xdr:from>
    <xdr:to>
      <xdr:col>15</xdr:col>
      <xdr:colOff>962025</xdr:colOff>
      <xdr:row>28</xdr:row>
      <xdr:rowOff>76201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4C00-000008000000}"/>
            </a:ext>
          </a:extLst>
        </xdr:cNvPr>
        <xdr:cNvSpPr/>
      </xdr:nvSpPr>
      <xdr:spPr>
        <a:xfrm>
          <a:off x="11639550" y="4600576"/>
          <a:ext cx="228600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38100</xdr:colOff>
      <xdr:row>2</xdr:row>
      <xdr:rowOff>28575</xdr:rowOff>
    </xdr:from>
    <xdr:to>
      <xdr:col>4</xdr:col>
      <xdr:colOff>150935</xdr:colOff>
      <xdr:row>4</xdr:row>
      <xdr:rowOff>184459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4C00-000009000000}"/>
            </a:ext>
          </a:extLst>
        </xdr:cNvPr>
        <xdr:cNvGrpSpPr/>
      </xdr:nvGrpSpPr>
      <xdr:grpSpPr>
        <a:xfrm>
          <a:off x="800100" y="409575"/>
          <a:ext cx="2802247" cy="615325"/>
          <a:chOff x="769327" y="402981"/>
          <a:chExt cx="2798885" cy="536884"/>
        </a:xfrm>
      </xdr:grpSpPr>
      <xdr:pic>
        <xdr:nvPicPr>
          <xdr:cNvPr id="10" name="Grafik 9">
            <a:extLst>
              <a:ext uri="{FF2B5EF4-FFF2-40B4-BE49-F238E27FC236}">
                <a16:creationId xmlns:a16="http://schemas.microsoft.com/office/drawing/2014/main" id="{00000000-0008-0000-4C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769327" y="681405"/>
            <a:ext cx="2710961" cy="258460"/>
          </a:xfrm>
          <a:prstGeom prst="rect">
            <a:avLst/>
          </a:prstGeom>
        </xdr:spPr>
      </xdr:pic>
      <xdr:pic>
        <xdr:nvPicPr>
          <xdr:cNvPr id="11" name="Grafik 10">
            <a:extLst>
              <a:ext uri="{FF2B5EF4-FFF2-40B4-BE49-F238E27FC236}">
                <a16:creationId xmlns:a16="http://schemas.microsoft.com/office/drawing/2014/main" id="{00000000-0008-0000-4C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69327" y="402981"/>
            <a:ext cx="2798885" cy="256564"/>
          </a:xfrm>
          <a:prstGeom prst="rect">
            <a:avLst/>
          </a:prstGeom>
        </xdr:spPr>
      </xdr:pic>
    </xdr:grp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5</xdr:row>
      <xdr:rowOff>100853</xdr:rowOff>
    </xdr:from>
    <xdr:to>
      <xdr:col>1</xdr:col>
      <xdr:colOff>1703854</xdr:colOff>
      <xdr:row>21</xdr:row>
      <xdr:rowOff>79816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579" y="1100978"/>
          <a:ext cx="1647825" cy="2807888"/>
        </a:xfrm>
        <a:prstGeom prst="rect">
          <a:avLst/>
        </a:prstGeom>
      </xdr:spPr>
    </xdr:pic>
    <xdr:clientData/>
  </xdr:twoCellAnchor>
  <xdr:twoCellAnchor editAs="oneCell">
    <xdr:from>
      <xdr:col>2</xdr:col>
      <xdr:colOff>243727</xdr:colOff>
      <xdr:row>3</xdr:row>
      <xdr:rowOff>69475</xdr:rowOff>
    </xdr:from>
    <xdr:to>
      <xdr:col>5</xdr:col>
      <xdr:colOff>299443</xdr:colOff>
      <xdr:row>45</xdr:row>
      <xdr:rowOff>44823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0177" y="688600"/>
          <a:ext cx="2960841" cy="7757273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761999</xdr:colOff>
      <xdr:row>57</xdr:row>
      <xdr:rowOff>121227</xdr:rowOff>
    </xdr:from>
    <xdr:to>
      <xdr:col>7</xdr:col>
      <xdr:colOff>744682</xdr:colOff>
      <xdr:row>69</xdr:row>
      <xdr:rowOff>116973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4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9817" y="10321636"/>
          <a:ext cx="6182592" cy="1918064"/>
        </a:xfrm>
        <a:prstGeom prst="rect">
          <a:avLst/>
        </a:prstGeom>
      </xdr:spPr>
    </xdr:pic>
    <xdr:clientData/>
  </xdr:twoCellAnchor>
  <xdr:twoCellAnchor editAs="oneCell">
    <xdr:from>
      <xdr:col>31</xdr:col>
      <xdr:colOff>85421</xdr:colOff>
      <xdr:row>24</xdr:row>
      <xdr:rowOff>141295</xdr:rowOff>
    </xdr:from>
    <xdr:to>
      <xdr:col>35</xdr:col>
      <xdr:colOff>290222</xdr:colOff>
      <xdr:row>26</xdr:row>
      <xdr:rowOff>69273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4D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91532"/>
        <a:stretch/>
      </xdr:blipFill>
      <xdr:spPr>
        <a:xfrm>
          <a:off x="21923648" y="4540113"/>
          <a:ext cx="6118960" cy="308978"/>
        </a:xfrm>
        <a:prstGeom prst="rect">
          <a:avLst/>
        </a:prstGeom>
      </xdr:spPr>
    </xdr:pic>
    <xdr:clientData/>
  </xdr:twoCellAnchor>
  <xdr:twoCellAnchor editAs="oneCell">
    <xdr:from>
      <xdr:col>31</xdr:col>
      <xdr:colOff>279995</xdr:colOff>
      <xdr:row>45</xdr:row>
      <xdr:rowOff>132128</xdr:rowOff>
    </xdr:from>
    <xdr:to>
      <xdr:col>34</xdr:col>
      <xdr:colOff>3712</xdr:colOff>
      <xdr:row>47</xdr:row>
      <xdr:rowOff>69273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4D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42324" b="91486"/>
        <a:stretch/>
      </xdr:blipFill>
      <xdr:spPr>
        <a:xfrm>
          <a:off x="22118222" y="8531446"/>
          <a:ext cx="4880824" cy="318145"/>
        </a:xfrm>
        <a:prstGeom prst="rect">
          <a:avLst/>
        </a:prstGeom>
      </xdr:spPr>
    </xdr:pic>
    <xdr:clientData/>
  </xdr:twoCellAnchor>
  <xdr:twoCellAnchor editAs="oneCell">
    <xdr:from>
      <xdr:col>23</xdr:col>
      <xdr:colOff>756704</xdr:colOff>
      <xdr:row>51</xdr:row>
      <xdr:rowOff>85085</xdr:rowOff>
    </xdr:from>
    <xdr:to>
      <xdr:col>28</xdr:col>
      <xdr:colOff>734292</xdr:colOff>
      <xdr:row>54</xdr:row>
      <xdr:rowOff>17319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4D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87720"/>
        <a:stretch/>
      </xdr:blipFill>
      <xdr:spPr>
        <a:xfrm>
          <a:off x="17468749" y="9384949"/>
          <a:ext cx="3787588" cy="382506"/>
        </a:xfrm>
        <a:prstGeom prst="rect">
          <a:avLst/>
        </a:prstGeom>
      </xdr:spPr>
    </xdr:pic>
    <xdr:clientData/>
  </xdr:twoCellAnchor>
  <xdr:twoCellAnchor editAs="oneCell">
    <xdr:from>
      <xdr:col>10</xdr:col>
      <xdr:colOff>39730</xdr:colOff>
      <xdr:row>3</xdr:row>
      <xdr:rowOff>69272</xdr:rowOff>
    </xdr:from>
    <xdr:to>
      <xdr:col>15</xdr:col>
      <xdr:colOff>540672</xdr:colOff>
      <xdr:row>5</xdr:row>
      <xdr:rowOff>69272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4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46321" y="692727"/>
          <a:ext cx="3358442" cy="381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163285</xdr:colOff>
      <xdr:row>5</xdr:row>
      <xdr:rowOff>95249</xdr:rowOff>
    </xdr:from>
    <xdr:to>
      <xdr:col>18</xdr:col>
      <xdr:colOff>20220</xdr:colOff>
      <xdr:row>43</xdr:row>
      <xdr:rowOff>178771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4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51321" y="1102178"/>
          <a:ext cx="5068470" cy="7118414"/>
        </a:xfrm>
        <a:prstGeom prst="rect">
          <a:avLst/>
        </a:prstGeom>
      </xdr:spPr>
    </xdr:pic>
    <xdr:clientData/>
  </xdr:twoCellAnchor>
  <xdr:twoCellAnchor>
    <xdr:from>
      <xdr:col>18</xdr:col>
      <xdr:colOff>163286</xdr:colOff>
      <xdr:row>5</xdr:row>
      <xdr:rowOff>125186</xdr:rowOff>
    </xdr:from>
    <xdr:to>
      <xdr:col>28</xdr:col>
      <xdr:colOff>499843</xdr:colOff>
      <xdr:row>45</xdr:row>
      <xdr:rowOff>31408</xdr:rowOff>
    </xdr:to>
    <xdr:grpSp>
      <xdr:nvGrpSpPr>
        <xdr:cNvPr id="22" name="Gruppieren 21">
          <a:extLst>
            <a:ext uri="{FF2B5EF4-FFF2-40B4-BE49-F238E27FC236}">
              <a16:creationId xmlns:a16="http://schemas.microsoft.com/office/drawing/2014/main" id="{00000000-0008-0000-4D00-000016000000}"/>
            </a:ext>
          </a:extLst>
        </xdr:cNvPr>
        <xdr:cNvGrpSpPr/>
      </xdr:nvGrpSpPr>
      <xdr:grpSpPr>
        <a:xfrm>
          <a:off x="13062857" y="1132115"/>
          <a:ext cx="7956557" cy="7322114"/>
          <a:chOff x="12926786" y="941615"/>
          <a:chExt cx="7956557" cy="7322114"/>
        </a:xfrm>
      </xdr:grpSpPr>
      <xdr:pic>
        <xdr:nvPicPr>
          <xdr:cNvPr id="23" name="Grafik 22">
            <a:extLst>
              <a:ext uri="{FF2B5EF4-FFF2-40B4-BE49-F238E27FC236}">
                <a16:creationId xmlns:a16="http://schemas.microsoft.com/office/drawing/2014/main" id="{00000000-0008-0000-4D00-00001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r="61742"/>
          <a:stretch/>
        </xdr:blipFill>
        <xdr:spPr>
          <a:xfrm>
            <a:off x="12926786" y="952501"/>
            <a:ext cx="3469821" cy="7311228"/>
          </a:xfrm>
          <a:prstGeom prst="rect">
            <a:avLst/>
          </a:prstGeom>
        </xdr:spPr>
      </xdr:pic>
      <xdr:pic>
        <xdr:nvPicPr>
          <xdr:cNvPr id="24" name="Grafik 23">
            <a:extLst>
              <a:ext uri="{FF2B5EF4-FFF2-40B4-BE49-F238E27FC236}">
                <a16:creationId xmlns:a16="http://schemas.microsoft.com/office/drawing/2014/main" id="{00000000-0008-0000-4D00-00001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l="54581"/>
          <a:stretch/>
        </xdr:blipFill>
        <xdr:spPr>
          <a:xfrm>
            <a:off x="16763998" y="941615"/>
            <a:ext cx="4119345" cy="7311228"/>
          </a:xfrm>
          <a:prstGeom prst="rect">
            <a:avLst/>
          </a:prstGeom>
        </xdr:spPr>
      </xdr:pic>
    </xdr:grpSp>
    <xdr:clientData/>
  </xdr:twoCellAnchor>
  <xdr:twoCellAnchor editAs="oneCell">
    <xdr:from>
      <xdr:col>31</xdr:col>
      <xdr:colOff>13607</xdr:colOff>
      <xdr:row>26</xdr:row>
      <xdr:rowOff>81643</xdr:rowOff>
    </xdr:from>
    <xdr:to>
      <xdr:col>35</xdr:col>
      <xdr:colOff>190500</xdr:colOff>
      <xdr:row>43</xdr:row>
      <xdr:rowOff>170268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4D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740"/>
        <a:stretch/>
      </xdr:blipFill>
      <xdr:spPr>
        <a:xfrm>
          <a:off x="21839464" y="4884964"/>
          <a:ext cx="6096000" cy="3327125"/>
        </a:xfrm>
        <a:prstGeom prst="rect">
          <a:avLst/>
        </a:prstGeom>
      </xdr:spPr>
    </xdr:pic>
    <xdr:clientData/>
  </xdr:twoCellAnchor>
  <xdr:twoCellAnchor>
    <xdr:from>
      <xdr:col>31</xdr:col>
      <xdr:colOff>136072</xdr:colOff>
      <xdr:row>49</xdr:row>
      <xdr:rowOff>81643</xdr:rowOff>
    </xdr:from>
    <xdr:to>
      <xdr:col>38</xdr:col>
      <xdr:colOff>299357</xdr:colOff>
      <xdr:row>65</xdr:row>
      <xdr:rowOff>98465</xdr:rowOff>
    </xdr:to>
    <xdr:grpSp>
      <xdr:nvGrpSpPr>
        <xdr:cNvPr id="26" name="Gruppieren 25">
          <a:extLst>
            <a:ext uri="{FF2B5EF4-FFF2-40B4-BE49-F238E27FC236}">
              <a16:creationId xmlns:a16="http://schemas.microsoft.com/office/drawing/2014/main" id="{00000000-0008-0000-4D00-00001A000000}"/>
            </a:ext>
          </a:extLst>
        </xdr:cNvPr>
        <xdr:cNvGrpSpPr/>
      </xdr:nvGrpSpPr>
      <xdr:grpSpPr>
        <a:xfrm>
          <a:off x="21961929" y="9157607"/>
          <a:ext cx="7905749" cy="2520537"/>
          <a:chOff x="19172464" y="10586357"/>
          <a:chExt cx="8558016" cy="2984462"/>
        </a:xfrm>
      </xdr:grpSpPr>
      <xdr:pic>
        <xdr:nvPicPr>
          <xdr:cNvPr id="27" name="Grafik 26">
            <a:extLst>
              <a:ext uri="{FF2B5EF4-FFF2-40B4-BE49-F238E27FC236}">
                <a16:creationId xmlns:a16="http://schemas.microsoft.com/office/drawing/2014/main" id="{00000000-0008-0000-4D00-00001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r="86828"/>
          <a:stretch/>
        </xdr:blipFill>
        <xdr:spPr>
          <a:xfrm>
            <a:off x="19172464" y="10586357"/>
            <a:ext cx="1741715" cy="2981741"/>
          </a:xfrm>
          <a:prstGeom prst="rect">
            <a:avLst/>
          </a:prstGeom>
        </xdr:spPr>
      </xdr:pic>
      <xdr:pic>
        <xdr:nvPicPr>
          <xdr:cNvPr id="28" name="Grafik 27">
            <a:extLst>
              <a:ext uri="{FF2B5EF4-FFF2-40B4-BE49-F238E27FC236}">
                <a16:creationId xmlns:a16="http://schemas.microsoft.com/office/drawing/2014/main" id="{00000000-0008-0000-4D00-00001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l="48449"/>
          <a:stretch/>
        </xdr:blipFill>
        <xdr:spPr>
          <a:xfrm>
            <a:off x="20914179" y="10589078"/>
            <a:ext cx="6816301" cy="2981741"/>
          </a:xfrm>
          <a:prstGeom prst="rect">
            <a:avLst/>
          </a:prstGeom>
        </xdr:spPr>
      </xdr:pic>
    </xdr:grpSp>
    <xdr:clientData/>
  </xdr:twoCellAnchor>
  <xdr:twoCellAnchor editAs="oneCell">
    <xdr:from>
      <xdr:col>17</xdr:col>
      <xdr:colOff>435429</xdr:colOff>
      <xdr:row>56</xdr:row>
      <xdr:rowOff>95249</xdr:rowOff>
    </xdr:from>
    <xdr:to>
      <xdr:col>21</xdr:col>
      <xdr:colOff>489857</xdr:colOff>
      <xdr:row>74</xdr:row>
      <xdr:rowOff>40819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4D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518572" y="10178142"/>
          <a:ext cx="3156856" cy="3047998"/>
        </a:xfrm>
        <a:prstGeom prst="rect">
          <a:avLst/>
        </a:prstGeom>
      </xdr:spPr>
    </xdr:pic>
    <xdr:clientData/>
  </xdr:twoCellAnchor>
  <xdr:twoCellAnchor editAs="oneCell">
    <xdr:from>
      <xdr:col>24</xdr:col>
      <xdr:colOff>586738</xdr:colOff>
      <xdr:row>54</xdr:row>
      <xdr:rowOff>68035</xdr:rowOff>
    </xdr:from>
    <xdr:to>
      <xdr:col>27</xdr:col>
      <xdr:colOff>576833</xdr:colOff>
      <xdr:row>73</xdr:row>
      <xdr:rowOff>113796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4D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058309" y="9878785"/>
          <a:ext cx="2276095" cy="3229832"/>
        </a:xfrm>
        <a:prstGeom prst="rect">
          <a:avLst/>
        </a:prstGeom>
      </xdr:spPr>
    </xdr:pic>
    <xdr:clientData/>
  </xdr:twoCellAnchor>
  <xdr:twoCellAnchor>
    <xdr:from>
      <xdr:col>31</xdr:col>
      <xdr:colOff>843643</xdr:colOff>
      <xdr:row>69</xdr:row>
      <xdr:rowOff>54431</xdr:rowOff>
    </xdr:from>
    <xdr:to>
      <xdr:col>39</xdr:col>
      <xdr:colOff>513577</xdr:colOff>
      <xdr:row>90</xdr:row>
      <xdr:rowOff>163289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DA1C2D8E-08B6-4D3D-A240-44D0CD8307B0}"/>
            </a:ext>
          </a:extLst>
        </xdr:cNvPr>
        <xdr:cNvGrpSpPr/>
      </xdr:nvGrpSpPr>
      <xdr:grpSpPr>
        <a:xfrm>
          <a:off x="22669500" y="12287252"/>
          <a:ext cx="8174398" cy="4109358"/>
          <a:chOff x="21199929" y="7892143"/>
          <a:chExt cx="10477500" cy="5402036"/>
        </a:xfrm>
      </xdr:grpSpPr>
      <xdr:grpSp>
        <xdr:nvGrpSpPr>
          <xdr:cNvPr id="31" name="Gruppieren 30">
            <a:extLst>
              <a:ext uri="{FF2B5EF4-FFF2-40B4-BE49-F238E27FC236}">
                <a16:creationId xmlns:a16="http://schemas.microsoft.com/office/drawing/2014/main" id="{BA054780-9797-48F8-800A-876160BD39F0}"/>
              </a:ext>
            </a:extLst>
          </xdr:cNvPr>
          <xdr:cNvGrpSpPr/>
        </xdr:nvGrpSpPr>
        <xdr:grpSpPr>
          <a:xfrm>
            <a:off x="21376821" y="8014608"/>
            <a:ext cx="10192238" cy="5170713"/>
            <a:chOff x="21104678" y="8001001"/>
            <a:chExt cx="10192238" cy="5170713"/>
          </a:xfrm>
        </xdr:grpSpPr>
        <xdr:pic>
          <xdr:nvPicPr>
            <xdr:cNvPr id="33" name="Grafik 32">
              <a:extLst>
                <a:ext uri="{FF2B5EF4-FFF2-40B4-BE49-F238E27FC236}">
                  <a16:creationId xmlns:a16="http://schemas.microsoft.com/office/drawing/2014/main" id="{FF1A33E9-4599-44D1-8CFC-4567F267A9E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21254357" y="8001001"/>
              <a:ext cx="5792008" cy="4172532"/>
            </a:xfrm>
            <a:prstGeom prst="rect">
              <a:avLst/>
            </a:prstGeom>
          </xdr:spPr>
        </xdr:pic>
        <xdr:pic>
          <xdr:nvPicPr>
            <xdr:cNvPr id="34" name="Grafik 33">
              <a:extLst>
                <a:ext uri="{FF2B5EF4-FFF2-40B4-BE49-F238E27FC236}">
                  <a16:creationId xmlns:a16="http://schemas.microsoft.com/office/drawing/2014/main" id="{867AA93E-63A9-4141-A8A2-2121E37B7C0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1104678" y="12096751"/>
              <a:ext cx="10192238" cy="1074963"/>
            </a:xfrm>
            <a:prstGeom prst="rect">
              <a:avLst/>
            </a:prstGeom>
          </xdr:spPr>
        </xdr:pic>
        <xdr:sp macro="" textlink="">
          <xdr:nvSpPr>
            <xdr:cNvPr id="35" name="Gleichschenkliges Dreieck 34">
              <a:extLst>
                <a:ext uri="{FF2B5EF4-FFF2-40B4-BE49-F238E27FC236}">
                  <a16:creationId xmlns:a16="http://schemas.microsoft.com/office/drawing/2014/main" id="{8658FA98-51E4-445F-8E8C-CE2322B123F9}"/>
                </a:ext>
              </a:extLst>
            </xdr:cNvPr>
            <xdr:cNvSpPr/>
          </xdr:nvSpPr>
          <xdr:spPr>
            <a:xfrm rot="1228425">
              <a:off x="25037143" y="9851571"/>
              <a:ext cx="3605893" cy="1864179"/>
            </a:xfrm>
            <a:prstGeom prst="triangl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36" name="Rechteck 35">
              <a:extLst>
                <a:ext uri="{FF2B5EF4-FFF2-40B4-BE49-F238E27FC236}">
                  <a16:creationId xmlns:a16="http://schemas.microsoft.com/office/drawing/2014/main" id="{D1A99F12-0D23-498C-A81D-9C33419EA729}"/>
                </a:ext>
              </a:extLst>
            </xdr:cNvPr>
            <xdr:cNvSpPr/>
          </xdr:nvSpPr>
          <xdr:spPr>
            <a:xfrm>
              <a:off x="25731107" y="11361964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  <xdr:sp macro="" textlink="">
          <xdr:nvSpPr>
            <xdr:cNvPr id="37" name="Rechteck 36">
              <a:extLst>
                <a:ext uri="{FF2B5EF4-FFF2-40B4-BE49-F238E27FC236}">
                  <a16:creationId xmlns:a16="http://schemas.microsoft.com/office/drawing/2014/main" id="{1E345D46-AF76-40ED-9D6F-717A31C55750}"/>
                </a:ext>
              </a:extLst>
            </xdr:cNvPr>
            <xdr:cNvSpPr/>
          </xdr:nvSpPr>
          <xdr:spPr>
            <a:xfrm>
              <a:off x="29965650" y="11732079"/>
              <a:ext cx="1115786" cy="775607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de-CH" sz="1100"/>
            </a:p>
          </xdr:txBody>
        </xdr:sp>
      </xdr:grpSp>
      <xdr:sp macro="" textlink="">
        <xdr:nvSpPr>
          <xdr:cNvPr id="32" name="Rechteck 31">
            <a:extLst>
              <a:ext uri="{FF2B5EF4-FFF2-40B4-BE49-F238E27FC236}">
                <a16:creationId xmlns:a16="http://schemas.microsoft.com/office/drawing/2014/main" id="{4C9CB9A8-9AB0-4E2E-9A56-DBA1DA4F36B9}"/>
              </a:ext>
            </a:extLst>
          </xdr:cNvPr>
          <xdr:cNvSpPr/>
        </xdr:nvSpPr>
        <xdr:spPr>
          <a:xfrm>
            <a:off x="21199929" y="7892143"/>
            <a:ext cx="10477500" cy="540203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  <xdr:twoCellAnchor>
    <xdr:from>
      <xdr:col>36</xdr:col>
      <xdr:colOff>244928</xdr:colOff>
      <xdr:row>11</xdr:row>
      <xdr:rowOff>176894</xdr:rowOff>
    </xdr:from>
    <xdr:to>
      <xdr:col>39</xdr:col>
      <xdr:colOff>435429</xdr:colOff>
      <xdr:row>69</xdr:row>
      <xdr:rowOff>13607</xdr:rowOff>
    </xdr:to>
    <xdr:cxnSp macro="">
      <xdr:nvCxnSpPr>
        <xdr:cNvPr id="38" name="Verbinder: gekrümmt 37">
          <a:extLst>
            <a:ext uri="{FF2B5EF4-FFF2-40B4-BE49-F238E27FC236}">
              <a16:creationId xmlns:a16="http://schemas.microsoft.com/office/drawing/2014/main" id="{588754B0-F08A-4395-AC53-6FE057E4AD3E}"/>
            </a:ext>
          </a:extLst>
        </xdr:cNvPr>
        <xdr:cNvCxnSpPr/>
      </xdr:nvCxnSpPr>
      <xdr:spPr>
        <a:xfrm rot="16200000" flipH="1">
          <a:off x="24465643" y="5946321"/>
          <a:ext cx="10123713" cy="2476501"/>
        </a:xfrm>
        <a:prstGeom prst="curvedConnector3">
          <a:avLst>
            <a:gd name="adj1" fmla="val 134"/>
          </a:avLst>
        </a:prstGeom>
        <a:ln>
          <a:headEnd type="none" w="med" len="med"/>
          <a:tailEnd type="triangle" w="lg" len="lg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11206</xdr:colOff>
      <xdr:row>49</xdr:row>
      <xdr:rowOff>25214</xdr:rowOff>
    </xdr:from>
    <xdr:to>
      <xdr:col>6</xdr:col>
      <xdr:colOff>749646</xdr:colOff>
      <xdr:row>60</xdr:row>
      <xdr:rowOff>120770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656" y="9073964"/>
          <a:ext cx="381501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9526</xdr:rowOff>
    </xdr:from>
    <xdr:to>
      <xdr:col>1</xdr:col>
      <xdr:colOff>1762125</xdr:colOff>
      <xdr:row>18</xdr:row>
      <xdr:rowOff>119968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819151"/>
          <a:ext cx="1771650" cy="2558367"/>
        </a:xfrm>
        <a:prstGeom prst="rect">
          <a:avLst/>
        </a:prstGeom>
      </xdr:spPr>
    </xdr:pic>
    <xdr:clientData/>
  </xdr:twoCellAnchor>
  <xdr:twoCellAnchor editAs="oneCell">
    <xdr:from>
      <xdr:col>1</xdr:col>
      <xdr:colOff>123264</xdr:colOff>
      <xdr:row>0</xdr:row>
      <xdr:rowOff>11206</xdr:rowOff>
    </xdr:from>
    <xdr:to>
      <xdr:col>1</xdr:col>
      <xdr:colOff>847164</xdr:colOff>
      <xdr:row>2</xdr:row>
      <xdr:rowOff>120908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14" y="11206"/>
          <a:ext cx="723900" cy="538327"/>
        </a:xfrm>
        <a:prstGeom prst="rect">
          <a:avLst/>
        </a:prstGeom>
      </xdr:spPr>
    </xdr:pic>
    <xdr:clientData/>
  </xdr:twoCellAnchor>
  <xdr:twoCellAnchor editAs="oneCell">
    <xdr:from>
      <xdr:col>9</xdr:col>
      <xdr:colOff>73957</xdr:colOff>
      <xdr:row>3</xdr:row>
      <xdr:rowOff>62755</xdr:rowOff>
    </xdr:from>
    <xdr:to>
      <xdr:col>22</xdr:col>
      <xdr:colOff>719007</xdr:colOff>
      <xdr:row>23</xdr:row>
      <xdr:rowOff>168089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53174"/>
        <a:stretch/>
      </xdr:blipFill>
      <xdr:spPr>
        <a:xfrm>
          <a:off x="7066428" y="679079"/>
          <a:ext cx="9116697" cy="3702422"/>
        </a:xfrm>
        <a:prstGeom prst="rect">
          <a:avLst/>
        </a:prstGeom>
      </xdr:spPr>
    </xdr:pic>
    <xdr:clientData/>
  </xdr:twoCellAnchor>
  <xdr:twoCellAnchor editAs="oneCell">
    <xdr:from>
      <xdr:col>9</xdr:col>
      <xdr:colOff>73957</xdr:colOff>
      <xdr:row>25</xdr:row>
      <xdr:rowOff>112060</xdr:rowOff>
    </xdr:from>
    <xdr:to>
      <xdr:col>22</xdr:col>
      <xdr:colOff>719007</xdr:colOff>
      <xdr:row>35</xdr:row>
      <xdr:rowOff>179296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7392" b="27664"/>
        <a:stretch/>
      </xdr:blipFill>
      <xdr:spPr>
        <a:xfrm>
          <a:off x="7066428" y="4706472"/>
          <a:ext cx="9116697" cy="1972236"/>
        </a:xfrm>
        <a:prstGeom prst="rect">
          <a:avLst/>
        </a:prstGeom>
      </xdr:spPr>
    </xdr:pic>
    <xdr:clientData/>
  </xdr:twoCellAnchor>
  <xdr:twoCellAnchor>
    <xdr:from>
      <xdr:col>1</xdr:col>
      <xdr:colOff>1809750</xdr:colOff>
      <xdr:row>4</xdr:row>
      <xdr:rowOff>149678</xdr:rowOff>
    </xdr:from>
    <xdr:to>
      <xdr:col>5</xdr:col>
      <xdr:colOff>585107</xdr:colOff>
      <xdr:row>43</xdr:row>
      <xdr:rowOff>81643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13857" y="966107"/>
          <a:ext cx="3061607" cy="7157357"/>
        </a:xfrm>
        <a:prstGeom prst="rect">
          <a:avLst/>
        </a:prstGeom>
      </xdr:spPr>
    </xdr:pic>
    <xdr:clientData/>
  </xdr:twoCellAnchor>
  <xdr:twoCellAnchor editAs="oneCell">
    <xdr:from>
      <xdr:col>19</xdr:col>
      <xdr:colOff>272142</xdr:colOff>
      <xdr:row>52</xdr:row>
      <xdr:rowOff>190499</xdr:rowOff>
    </xdr:from>
    <xdr:to>
      <xdr:col>22</xdr:col>
      <xdr:colOff>394607</xdr:colOff>
      <xdr:row>63</xdr:row>
      <xdr:rowOff>116156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43856" y="9837963"/>
          <a:ext cx="2408465" cy="1912300"/>
        </a:xfrm>
        <a:prstGeom prst="rect">
          <a:avLst/>
        </a:prstGeom>
      </xdr:spPr>
    </xdr:pic>
    <xdr:clientData/>
  </xdr:twoCellAnchor>
  <xdr:twoCellAnchor editAs="oneCell">
    <xdr:from>
      <xdr:col>9</xdr:col>
      <xdr:colOff>136070</xdr:colOff>
      <xdr:row>35</xdr:row>
      <xdr:rowOff>149679</xdr:rowOff>
    </xdr:from>
    <xdr:to>
      <xdr:col>23</xdr:col>
      <xdr:colOff>29580</xdr:colOff>
      <xdr:row>46</xdr:row>
      <xdr:rowOff>81643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02927" y="6667500"/>
          <a:ext cx="9146367" cy="2027464"/>
        </a:xfrm>
        <a:prstGeom prst="rect">
          <a:avLst/>
        </a:prstGeom>
      </xdr:spPr>
    </xdr:pic>
    <xdr:clientData/>
  </xdr:twoCellAnchor>
  <xdr:twoCellAnchor editAs="oneCell">
    <xdr:from>
      <xdr:col>7</xdr:col>
      <xdr:colOff>693965</xdr:colOff>
      <xdr:row>52</xdr:row>
      <xdr:rowOff>40821</xdr:rowOff>
    </xdr:from>
    <xdr:to>
      <xdr:col>18</xdr:col>
      <xdr:colOff>233745</xdr:colOff>
      <xdr:row>60</xdr:row>
      <xdr:rowOff>68036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C57146B-43D0-4085-A3AC-D148078F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99465" y="9688285"/>
          <a:ext cx="6043994" cy="15512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739588</xdr:colOff>
      <xdr:row>18</xdr:row>
      <xdr:rowOff>168088</xdr:rowOff>
    </xdr:from>
    <xdr:to>
      <xdr:col>13</xdr:col>
      <xdr:colOff>537882</xdr:colOff>
      <xdr:row>30</xdr:row>
      <xdr:rowOff>100853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b="945"/>
        <a:stretch/>
      </xdr:blipFill>
      <xdr:spPr bwMode="auto">
        <a:xfrm>
          <a:off x="7586382" y="3193676"/>
          <a:ext cx="2330824" cy="20730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192986</xdr:colOff>
      <xdr:row>8</xdr:row>
      <xdr:rowOff>38101</xdr:rowOff>
    </xdr:from>
    <xdr:to>
      <xdr:col>14</xdr:col>
      <xdr:colOff>488260</xdr:colOff>
      <xdr:row>17</xdr:row>
      <xdr:rowOff>117773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2703" y="1611797"/>
          <a:ext cx="3591753" cy="1330346"/>
        </a:xfrm>
        <a:prstGeom prst="rect">
          <a:avLst/>
        </a:prstGeom>
      </xdr:spPr>
    </xdr:pic>
    <xdr:clientData/>
  </xdr:twoCellAnchor>
  <xdr:twoCellAnchor>
    <xdr:from>
      <xdr:col>12</xdr:col>
      <xdr:colOff>258831</xdr:colOff>
      <xdr:row>8</xdr:row>
      <xdr:rowOff>126309</xdr:rowOff>
    </xdr:from>
    <xdr:to>
      <xdr:col>13</xdr:col>
      <xdr:colOff>20706</xdr:colOff>
      <xdr:row>10</xdr:row>
      <xdr:rowOff>92291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881027" y="1700005"/>
          <a:ext cx="523875" cy="2310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11</xdr:col>
      <xdr:colOff>171450</xdr:colOff>
      <xdr:row>12</xdr:row>
      <xdr:rowOff>152400</xdr:rowOff>
    </xdr:from>
    <xdr:to>
      <xdr:col>12</xdr:col>
      <xdr:colOff>209550</xdr:colOff>
      <xdr:row>18</xdr:row>
      <xdr:rowOff>38100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 flipH="1" flipV="1">
          <a:off x="8029575" y="2257425"/>
          <a:ext cx="800100" cy="800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483149</xdr:colOff>
      <xdr:row>18</xdr:row>
      <xdr:rowOff>136963</xdr:rowOff>
    </xdr:from>
    <xdr:to>
      <xdr:col>13</xdr:col>
      <xdr:colOff>121199</xdr:colOff>
      <xdr:row>18</xdr:row>
      <xdr:rowOff>327463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9108201" y="3165256"/>
          <a:ext cx="4000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13</xdr:col>
      <xdr:colOff>191485</xdr:colOff>
      <xdr:row>18</xdr:row>
      <xdr:rowOff>148130</xdr:rowOff>
    </xdr:from>
    <xdr:to>
      <xdr:col>13</xdr:col>
      <xdr:colOff>538654</xdr:colOff>
      <xdr:row>23</xdr:row>
      <xdr:rowOff>19707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9578537" y="3176423"/>
          <a:ext cx="347169" cy="79123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</xdr:col>
      <xdr:colOff>9525</xdr:colOff>
      <xdr:row>2</xdr:row>
      <xdr:rowOff>28575</xdr:rowOff>
    </xdr:from>
    <xdr:to>
      <xdr:col>4</xdr:col>
      <xdr:colOff>219074</xdr:colOff>
      <xdr:row>4</xdr:row>
      <xdr:rowOff>154149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409575"/>
          <a:ext cx="2895599" cy="506574"/>
        </a:xfrm>
        <a:prstGeom prst="rect">
          <a:avLst/>
        </a:prstGeom>
      </xdr:spPr>
    </xdr:pic>
    <xdr:clientData/>
  </xdr:twoCellAnchor>
  <xdr:twoCellAnchor>
    <xdr:from>
      <xdr:col>14</xdr:col>
      <xdr:colOff>537882</xdr:colOff>
      <xdr:row>10</xdr:row>
      <xdr:rowOff>11206</xdr:rowOff>
    </xdr:from>
    <xdr:to>
      <xdr:col>17</xdr:col>
      <xdr:colOff>404991</xdr:colOff>
      <xdr:row>42</xdr:row>
      <xdr:rowOff>47066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79206" y="1848971"/>
          <a:ext cx="2153109" cy="5089713"/>
        </a:xfrm>
        <a:prstGeom prst="rect">
          <a:avLst/>
        </a:prstGeom>
      </xdr:spPr>
    </xdr:pic>
    <xdr:clientData/>
  </xdr:twoCellAnchor>
  <xdr:twoCellAnchor>
    <xdr:from>
      <xdr:col>15</xdr:col>
      <xdr:colOff>33619</xdr:colOff>
      <xdr:row>25</xdr:row>
      <xdr:rowOff>145678</xdr:rowOff>
    </xdr:from>
    <xdr:to>
      <xdr:col>15</xdr:col>
      <xdr:colOff>246530</xdr:colOff>
      <xdr:row>27</xdr:row>
      <xdr:rowOff>134472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0936943" y="4471149"/>
          <a:ext cx="212911" cy="3697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FLlul1JpIms" TargetMode="External"/><Relationship Id="rId1" Type="http://schemas.openxmlformats.org/officeDocument/2006/relationships/hyperlink" Target="https://www.youtube.com/watch?v=skp9d8CHHxQ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5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17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9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2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3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21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5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2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25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2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F198-DDBB-4A07-9AAF-14E1909D55D8}">
  <dimension ref="A2:Z65"/>
  <sheetViews>
    <sheetView tabSelected="1" zoomScale="85" zoomScaleNormal="85" workbookViewId="0">
      <selection activeCell="B3" sqref="B3:L3"/>
    </sheetView>
  </sheetViews>
  <sheetFormatPr baseColWidth="10" defaultRowHeight="15" x14ac:dyDescent="0.25"/>
  <cols>
    <col min="1" max="6" width="11.42578125" style="1"/>
    <col min="7" max="7" width="6.85546875" style="1" customWidth="1"/>
    <col min="8" max="25" width="11.42578125" style="1"/>
    <col min="26" max="26" width="22" style="1" customWidth="1"/>
    <col min="27" max="16384" width="11.42578125" style="1"/>
  </cols>
  <sheetData>
    <row r="2" spans="2:26" ht="66.75" customHeight="1" x14ac:dyDescent="0.25">
      <c r="N2" s="7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spans="2:26" ht="28.5" customHeight="1" x14ac:dyDescent="0.25">
      <c r="B3" s="55" t="s">
        <v>208</v>
      </c>
      <c r="C3" s="56"/>
      <c r="D3" s="56"/>
      <c r="E3" s="56"/>
      <c r="F3" s="56"/>
      <c r="G3" s="56"/>
      <c r="H3" s="56"/>
      <c r="I3" s="56"/>
      <c r="J3" s="56"/>
      <c r="K3" s="56"/>
      <c r="L3" s="57"/>
      <c r="N3" s="10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</row>
    <row r="4" spans="2:26" x14ac:dyDescent="0.25">
      <c r="B4" s="1" t="s">
        <v>207</v>
      </c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2"/>
    </row>
    <row r="5" spans="2:26" ht="15.75" thickBot="1" x14ac:dyDescent="0.3"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</row>
    <row r="6" spans="2:26" x14ac:dyDescent="0.25">
      <c r="B6" s="45" t="s">
        <v>7</v>
      </c>
      <c r="C6" s="46"/>
      <c r="D6" s="46"/>
      <c r="E6" s="46"/>
      <c r="F6" s="47"/>
      <c r="H6" s="54" t="s">
        <v>7</v>
      </c>
      <c r="I6" s="46"/>
      <c r="J6" s="46"/>
      <c r="K6" s="46"/>
      <c r="L6" s="47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</row>
    <row r="7" spans="2:26" x14ac:dyDescent="0.25">
      <c r="B7" s="48"/>
      <c r="C7" s="49"/>
      <c r="D7" s="49"/>
      <c r="E7" s="49"/>
      <c r="F7" s="50"/>
      <c r="H7" s="48"/>
      <c r="I7" s="49"/>
      <c r="J7" s="49"/>
      <c r="K7" s="49"/>
      <c r="L7" s="50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2"/>
    </row>
    <row r="8" spans="2:26" x14ac:dyDescent="0.25">
      <c r="B8" s="48"/>
      <c r="C8" s="49"/>
      <c r="D8" s="49"/>
      <c r="E8" s="49"/>
      <c r="F8" s="50"/>
      <c r="H8" s="48"/>
      <c r="I8" s="49"/>
      <c r="J8" s="49"/>
      <c r="K8" s="49"/>
      <c r="L8" s="50"/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2"/>
    </row>
    <row r="9" spans="2:26" x14ac:dyDescent="0.25">
      <c r="B9" s="48"/>
      <c r="C9" s="49"/>
      <c r="D9" s="49"/>
      <c r="E9" s="49"/>
      <c r="F9" s="50"/>
      <c r="H9" s="48"/>
      <c r="I9" s="49"/>
      <c r="J9" s="49"/>
      <c r="K9" s="49"/>
      <c r="L9" s="5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2"/>
    </row>
    <row r="10" spans="2:26" x14ac:dyDescent="0.25">
      <c r="B10" s="48"/>
      <c r="C10" s="49"/>
      <c r="D10" s="49"/>
      <c r="E10" s="49"/>
      <c r="F10" s="50"/>
      <c r="H10" s="48"/>
      <c r="I10" s="49"/>
      <c r="J10" s="49"/>
      <c r="K10" s="49"/>
      <c r="L10" s="50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</row>
    <row r="11" spans="2:26" x14ac:dyDescent="0.25">
      <c r="B11" s="48"/>
      <c r="C11" s="49"/>
      <c r="D11" s="49"/>
      <c r="E11" s="49"/>
      <c r="F11" s="50"/>
      <c r="H11" s="48"/>
      <c r="I11" s="49"/>
      <c r="J11" s="49"/>
      <c r="K11" s="49"/>
      <c r="L11" s="50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2"/>
    </row>
    <row r="12" spans="2:26" x14ac:dyDescent="0.25">
      <c r="B12" s="48"/>
      <c r="C12" s="49"/>
      <c r="D12" s="49"/>
      <c r="E12" s="49"/>
      <c r="F12" s="50"/>
      <c r="H12" s="48"/>
      <c r="I12" s="49"/>
      <c r="J12" s="49"/>
      <c r="K12" s="49"/>
      <c r="L12" s="50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</row>
    <row r="13" spans="2:26" x14ac:dyDescent="0.25">
      <c r="B13" s="48"/>
      <c r="C13" s="49"/>
      <c r="D13" s="49"/>
      <c r="E13" s="49"/>
      <c r="F13" s="50"/>
      <c r="H13" s="48"/>
      <c r="I13" s="49"/>
      <c r="J13" s="49"/>
      <c r="K13" s="49"/>
      <c r="L13" s="50"/>
      <c r="N13" s="13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5"/>
    </row>
    <row r="14" spans="2:26" x14ac:dyDescent="0.25">
      <c r="B14" s="48"/>
      <c r="C14" s="49"/>
      <c r="D14" s="49"/>
      <c r="E14" s="49"/>
      <c r="F14" s="50"/>
      <c r="H14" s="48"/>
      <c r="I14" s="49"/>
      <c r="J14" s="49"/>
      <c r="K14" s="49"/>
      <c r="L14" s="50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</row>
    <row r="15" spans="2:26" x14ac:dyDescent="0.25">
      <c r="B15" s="48"/>
      <c r="C15" s="49"/>
      <c r="D15" s="49"/>
      <c r="E15" s="49"/>
      <c r="F15" s="50"/>
      <c r="H15" s="48"/>
      <c r="I15" s="49"/>
      <c r="J15" s="49"/>
      <c r="K15" s="49"/>
      <c r="L15" s="5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</row>
    <row r="16" spans="2:26" ht="15.75" thickBot="1" x14ac:dyDescent="0.3">
      <c r="B16" s="51"/>
      <c r="C16" s="52"/>
      <c r="D16" s="52"/>
      <c r="E16" s="52"/>
      <c r="F16" s="53"/>
      <c r="H16" s="51"/>
      <c r="I16" s="52"/>
      <c r="J16" s="52"/>
      <c r="K16" s="52"/>
      <c r="L16" s="53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2"/>
    </row>
    <row r="17" spans="1:26" x14ac:dyDescent="0.25"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2"/>
    </row>
    <row r="18" spans="1:26" x14ac:dyDescent="0.25"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2"/>
    </row>
    <row r="19" spans="1:26" x14ac:dyDescent="0.25">
      <c r="N19" s="10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2"/>
    </row>
    <row r="20" spans="1:26" x14ac:dyDescent="0.25">
      <c r="N20" s="10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2"/>
    </row>
    <row r="21" spans="1:26" x14ac:dyDescent="0.25">
      <c r="N21" s="10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2"/>
    </row>
    <row r="22" spans="1:26" ht="15.75" thickBo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0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2"/>
    </row>
    <row r="23" spans="1:26" ht="24" thickBot="1" x14ac:dyDescent="0.4">
      <c r="A23" s="11"/>
      <c r="B23" s="58" t="s">
        <v>199</v>
      </c>
      <c r="C23" s="59"/>
      <c r="D23" s="59"/>
      <c r="E23" s="59"/>
      <c r="F23" s="60"/>
      <c r="G23" s="11"/>
      <c r="H23" s="11"/>
      <c r="I23" s="11"/>
      <c r="J23" s="11"/>
      <c r="K23" s="11"/>
      <c r="L23" s="11"/>
      <c r="M23" s="11"/>
      <c r="N23" s="10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2"/>
    </row>
    <row r="24" spans="1:26" ht="24" thickBot="1" x14ac:dyDescent="0.4">
      <c r="A24" s="11"/>
      <c r="B24" s="28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0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2"/>
    </row>
    <row r="25" spans="1:26" ht="24" thickBot="1" x14ac:dyDescent="0.4">
      <c r="A25" s="11"/>
      <c r="B25" s="58" t="s">
        <v>200</v>
      </c>
      <c r="C25" s="59"/>
      <c r="D25" s="59"/>
      <c r="E25" s="59"/>
      <c r="F25" s="60"/>
      <c r="G25" s="11"/>
      <c r="H25" s="11"/>
      <c r="I25" s="11"/>
      <c r="J25" s="11"/>
      <c r="K25" s="11"/>
      <c r="L25" s="11"/>
      <c r="M25" s="11"/>
      <c r="N25" s="7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spans="1:26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0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2"/>
    </row>
    <row r="27" spans="1:26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0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</row>
    <row r="28" spans="1:26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0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2"/>
    </row>
    <row r="29" spans="1:26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0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2"/>
    </row>
    <row r="30" spans="1:26" ht="52.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2"/>
    </row>
    <row r="31" spans="1:26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0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2"/>
    </row>
    <row r="32" spans="1:26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2"/>
    </row>
    <row r="33" spans="1:26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0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2"/>
    </row>
    <row r="34" spans="1:26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0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2"/>
    </row>
    <row r="35" spans="1:26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</row>
    <row r="36" spans="1:26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26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26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26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26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26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26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26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26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26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26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2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2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</sheetData>
  <sheetProtection sheet="1" objects="1" scenarios="1"/>
  <mergeCells count="5">
    <mergeCell ref="B6:F16"/>
    <mergeCell ref="H6:L16"/>
    <mergeCell ref="B3:L3"/>
    <mergeCell ref="B23:F23"/>
    <mergeCell ref="B25:F25"/>
  </mergeCells>
  <hyperlinks>
    <hyperlink ref="B6:F16" location="J_P!A1" display="Auswählen" xr:uid="{3DFFF7B3-3BE1-4763-9FC5-70E0829FB636}"/>
    <hyperlink ref="H6:L16" location="'P P'!A1" display="Auswählen" xr:uid="{5290D88B-B5D5-4753-B9E2-3F605CB201E7}"/>
    <hyperlink ref="B23:F23" r:id="rId1" display="Montagevideo Vorwand " xr:uid="{2AAAC51D-EC86-4756-B68D-10F75C429139}"/>
    <hyperlink ref="B25:F25" r:id="rId2" display="Montagevideo Pocket" xr:uid="{2F12A606-4B58-44E4-BC29-2CDBB42C47C6}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6973-1F54-4983-8394-055C17CDB47C}">
  <sheetPr>
    <pageSetUpPr fitToPage="1"/>
  </sheetPr>
  <dimension ref="C2:AD77"/>
  <sheetViews>
    <sheetView zoomScale="70" zoomScaleNormal="70" workbookViewId="0">
      <selection activeCell="Z18" sqref="Z18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N R G '!U22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N R G 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N R G '!U11</f>
        <v>1444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N R G '!V45</f>
        <v>30436</v>
      </c>
      <c r="AA11" s="21">
        <v>1</v>
      </c>
      <c r="AB11" s="21" t="str">
        <f>'P J N R G '!W45</f>
        <v xml:space="preserve">Hawa Acoustics XS rechts 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N R G '!U41</f>
        <v>875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N R G '!U43</f>
        <v>895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N R G '!V28</f>
        <v>27673</v>
      </c>
      <c r="AA15" s="21">
        <v>1</v>
      </c>
      <c r="AB15" s="21" t="str">
        <f>'P J N R G '!W28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N R G '!V35</f>
        <v>27689</v>
      </c>
      <c r="AA18" s="21">
        <f>IF('P J N R G '!D29="JA",1,0)</f>
        <v>1</v>
      </c>
      <c r="AB18" s="21" t="str">
        <f>'P J N R G '!W35</f>
        <v>Clip-Blende 2000 mm</v>
      </c>
      <c r="AC18" s="21"/>
      <c r="AD18" s="21"/>
    </row>
    <row r="19" spans="11:30" x14ac:dyDescent="0.25">
      <c r="Z19" s="21">
        <f>IF('P J N R G '!D31="JA",Daten!L5,0)</f>
        <v>30434</v>
      </c>
      <c r="AA19" s="21">
        <f>IF('P J N R G '!D31="JA",1,0)</f>
        <v>1</v>
      </c>
      <c r="AB19" s="21" t="str">
        <f>IF('P J N R G '!D31="Ja",Daten!M5,0)</f>
        <v>Blendenendstück Set links</v>
      </c>
      <c r="AC19" s="21"/>
      <c r="AD19" s="21"/>
    </row>
    <row r="20" spans="11:30" x14ac:dyDescent="0.25">
      <c r="Z20" s="21">
        <f>IF('P J N R G '!D33="JA",Daten!L6,0)</f>
        <v>30435</v>
      </c>
      <c r="AA20" s="21">
        <f>IF('P J N R G '!D33="JA",1,0)</f>
        <v>1</v>
      </c>
      <c r="AB20" s="21" t="str">
        <f>IF('P J N R G '!D33="Ja",Daten!M6,0)</f>
        <v>Blendenendstück Set rechts</v>
      </c>
      <c r="AC20" s="21"/>
      <c r="AD20" s="21"/>
    </row>
    <row r="25" spans="11:30" x14ac:dyDescent="0.25">
      <c r="K25" s="16" t="s">
        <v>145</v>
      </c>
      <c r="L25" s="17">
        <f>126-T48</f>
        <v>96</v>
      </c>
      <c r="M25" s="17" t="s">
        <v>19</v>
      </c>
      <c r="N25" s="18"/>
      <c r="T25" s="16" t="s">
        <v>146</v>
      </c>
      <c r="U25" s="17">
        <f>T48-10</f>
        <v>20</v>
      </c>
      <c r="V25" s="18" t="s">
        <v>19</v>
      </c>
    </row>
    <row r="48" spans="3:21" x14ac:dyDescent="0.25">
      <c r="C48" s="16" t="s">
        <v>59</v>
      </c>
      <c r="D48" s="17">
        <f>'P J N R G '!U24</f>
        <v>1680</v>
      </c>
      <c r="E48" s="18" t="s">
        <v>19</v>
      </c>
      <c r="K48" s="16" t="s">
        <v>56</v>
      </c>
      <c r="L48" s="17">
        <f>'P J N R G '!D11</f>
        <v>750</v>
      </c>
      <c r="M48" s="18" t="s">
        <v>19</v>
      </c>
      <c r="S48" s="16" t="s">
        <v>57</v>
      </c>
      <c r="T48" s="17">
        <f>'P J N R G '!D22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N R G '!U13</f>
        <v>900</v>
      </c>
      <c r="M50" s="18" t="s">
        <v>19</v>
      </c>
      <c r="S50" s="16" t="s">
        <v>58</v>
      </c>
      <c r="T50" s="17">
        <f>'P J N R G '!D24</f>
        <v>6</v>
      </c>
      <c r="U50" s="18" t="s">
        <v>19</v>
      </c>
    </row>
    <row r="62" spans="3:21" x14ac:dyDescent="0.25">
      <c r="C62" s="16" t="s">
        <v>61</v>
      </c>
      <c r="D62" s="17">
        <f>'P J N R G '!U31</f>
        <v>1680</v>
      </c>
      <c r="E62" s="17" t="s">
        <v>19</v>
      </c>
      <c r="F62" s="17" t="s">
        <v>60</v>
      </c>
      <c r="G62" s="18"/>
    </row>
    <row r="63" spans="3:21" ht="6" customHeight="1" x14ac:dyDescent="0.25"/>
    <row r="64" spans="3:21" x14ac:dyDescent="0.25">
      <c r="C64" s="16" t="s">
        <v>61</v>
      </c>
      <c r="D64" s="17">
        <f>D62+6</f>
        <v>1686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1692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FCEBC472-659E-4EC9-8E0D-E19EEFB5D63A}"/>
    <hyperlink ref="C73:D74" location="'P J N R G '!A1" display="Zurück" xr:uid="{26BA7733-5DF2-4582-8138-5AD84E04ED51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C6ED-9582-4D69-90ED-5D1892A255BF}">
  <dimension ref="B3:X48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167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D13-40-6-10</f>
        <v>1444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D11+(2*D23)+10</f>
        <v>820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1.18408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29.602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112</v>
      </c>
      <c r="D19" s="34">
        <v>120</v>
      </c>
      <c r="E19" s="1" t="s">
        <v>19</v>
      </c>
      <c r="F19" s="1" t="s">
        <v>113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30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 t="s">
        <v>47</v>
      </c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40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C23" s="1" t="s">
        <v>31</v>
      </c>
      <c r="D23" s="34">
        <v>30</v>
      </c>
      <c r="E23" s="1" t="s">
        <v>19</v>
      </c>
      <c r="F23" s="1" t="s">
        <v>34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D25+5</f>
        <v>11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(2*U13)-D19</f>
        <v>1520</v>
      </c>
      <c r="V25" s="5" t="s">
        <v>19</v>
      </c>
      <c r="W25" s="5" t="s">
        <v>48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191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U25</f>
        <v>1520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>
        <f>IF(U28&lt;2001,Daten!L2,IF(U28&lt;2501,Daten!L3,IF(U28&lt;3001,Daten!L4,0)))</f>
        <v>27673</v>
      </c>
      <c r="W29" s="5" t="str">
        <f>IF(V29=27673,Daten!M2,IF(V29=30323,Daten!M3,IF(V29=27672,Daten!M4,"siehe Katlaog")))</f>
        <v>Laufschiene, eloxiert, gelocht 2000 mm</v>
      </c>
    </row>
    <row r="30" spans="2:23" x14ac:dyDescent="0.25">
      <c r="B30" s="1" t="s">
        <v>36</v>
      </c>
      <c r="D30" s="34" t="s">
        <v>40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 t="s">
        <v>101</v>
      </c>
      <c r="V30" s="5"/>
      <c r="W30" s="5"/>
    </row>
    <row r="31" spans="2:23" ht="6" customHeight="1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x14ac:dyDescent="0.25">
      <c r="B32" s="1" t="s">
        <v>37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>
        <f>U28</f>
        <v>1520</v>
      </c>
      <c r="V32" s="5" t="s">
        <v>19</v>
      </c>
      <c r="W32" s="5" t="s">
        <v>100</v>
      </c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38</v>
      </c>
      <c r="D34" s="34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U23+54-1</f>
        <v>64</v>
      </c>
      <c r="V34" s="5" t="s">
        <v>19</v>
      </c>
      <c r="W34" s="5" t="s">
        <v>165</v>
      </c>
    </row>
    <row r="35" spans="2:23" ht="6" customHeight="1" x14ac:dyDescent="0.25">
      <c r="F35" s="1" t="s">
        <v>55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>
        <f>IF(U32&lt;2001,Daten!L8,IF(U32&lt;2501,Daten!L9,Daten!L10))</f>
        <v>27689</v>
      </c>
      <c r="W36" s="5" t="str">
        <f>IF(V36=27689,Daten!M8,IF(V36=30328,Daten!M9,Daten!M10))</f>
        <v>Clip-Blende 2000 mm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0" t="s">
        <v>16</v>
      </c>
      <c r="C38" s="71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B39" s="72"/>
      <c r="C39" s="73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6" t="s">
        <v>53</v>
      </c>
      <c r="V40" s="5"/>
      <c r="W40" s="5"/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2"/>
      <c r="C42" s="73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>
        <f>U13-25</f>
        <v>795</v>
      </c>
      <c r="V42" s="5" t="s">
        <v>19</v>
      </c>
      <c r="W42" s="5" t="s">
        <v>110</v>
      </c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U13-5</f>
        <v>815</v>
      </c>
      <c r="V44" s="5" t="s">
        <v>19</v>
      </c>
      <c r="W44" s="5" t="s">
        <v>54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  <c r="T46" s="5"/>
      <c r="U46" s="5"/>
      <c r="V46" s="5">
        <f>IF(U13&lt;931,Daten!I8,IF(U13&lt;1051,Daten!I9,IF(U13&lt;1181,Daten!I10,IF(U13&lt;1301,Daten!I11,Daten!I12))))</f>
        <v>30436</v>
      </c>
      <c r="W46" s="5" t="str">
        <f>IF(V46=30436,Daten!J8,IF(V46=30438,Daten!J9,IF(V46=30440,Daten!J10,IF(V46=30442,Daten!J11,Daten!J12))))</f>
        <v xml:space="preserve">Hawa Acoustics XS rechts </v>
      </c>
    </row>
    <row r="48" spans="2:23" x14ac:dyDescent="0.25">
      <c r="J48" s="19"/>
    </row>
  </sheetData>
  <sheetProtection sheet="1" objects="1" scenarios="1"/>
  <mergeCells count="8">
    <mergeCell ref="B41:C42"/>
    <mergeCell ref="B3:M5"/>
    <mergeCell ref="B7:M7"/>
    <mergeCell ref="B9:F9"/>
    <mergeCell ref="B21:F21"/>
    <mergeCell ref="B28:F28"/>
    <mergeCell ref="B38:C39"/>
    <mergeCell ref="E38:F39"/>
  </mergeCells>
  <conditionalFormatting sqref="H17">
    <cfRule type="expression" dxfId="28" priority="1">
      <formula>$H$17&gt;100</formula>
    </cfRule>
  </conditionalFormatting>
  <dataValidations count="8">
    <dataValidation type="whole" allowBlank="1" showInputMessage="1" showErrorMessage="1" errorTitle="Falsches Mass" error="Muss zwischen 6 und 25 mm sein" sqref="D25" xr:uid="{8796C033-4842-4C9C-B210-19205FD5F70C}">
      <formula1>6</formula1>
      <formula2>25</formula2>
    </dataValidation>
    <dataValidation type="whole" operator="greaterThan" allowBlank="1" showInputMessage="1" showErrorMessage="1" errorTitle="Flasches Mass" error="Muss min. 120 mm sein" sqref="D19" xr:uid="{09CF3696-B2C1-4D3E-80C9-C52001734231}">
      <formula1>119</formula1>
    </dataValidation>
    <dataValidation type="whole" allowBlank="1" showInputMessage="1" showErrorMessage="1" errorTitle="Falsches Mass" error="Muss zwischen 750 und 1250 mm sein" sqref="D11" xr:uid="{B6953243-0D68-4C93-A301-00DC72BECEA7}">
      <formula1>750</formula1>
      <formula2>1250</formula2>
    </dataValidation>
    <dataValidation type="whole" allowBlank="1" showInputMessage="1" showErrorMessage="1" errorTitle="Flasches Mass" error="Muss zwischen 1500 und 2550 mm sein" sqref="D13" xr:uid="{7C7C5ACC-D33A-4F23-A43B-0B2E63BD68BF}">
      <formula1>1500</formula1>
      <formula2>2550</formula2>
    </dataValidation>
    <dataValidation allowBlank="1" showInputMessage="1" showErrorMessage="1" errorTitle="Flasches Mass" error="Muss zwischen 44 und 50 mm sein" sqref="D17:D18" xr:uid="{458A7990-DD8D-4EE4-934C-0ECB13D2FBCA}"/>
    <dataValidation type="whole" allowBlank="1" showInputMessage="1" showErrorMessage="1" errorTitle="Falsches Mass" error="Muss zwischen 750 und 1250 mm sein" sqref="D26" xr:uid="{3DD89451-73DD-4200-B78E-AE0E33B5057C}">
      <formula1>6</formula1>
      <formula2>25</formula2>
    </dataValidation>
    <dataValidation type="whole" allowBlank="1" showInputMessage="1" showErrorMessage="1" errorTitle="Falsches Mass" error="Muss zwischen 30 und 60 mm sein" sqref="D23" xr:uid="{EDBA4C54-FFD4-4530-A32D-FAD52559150E}">
      <formula1>30</formula1>
      <formula2>60</formula2>
    </dataValidation>
    <dataValidation type="whole" allowBlank="1" showInputMessage="1" showErrorMessage="1" errorTitle="Flasches Mass" error="Muss zwischen 44 und 50 mm sein_x000a_(bei kleiner 44 mm, verwenden sie Hawa Porta Acoustics)" sqref="D15" xr:uid="{879CE5E3-0251-48C8-8702-F60148368E37}">
      <formula1>44</formula1>
      <formula2>50</formula2>
    </dataValidation>
  </dataValidations>
  <hyperlinks>
    <hyperlink ref="B41:C42" location="Startseite!A1" display="Home" xr:uid="{48E6E70D-C92C-4464-B5C4-3DB985D14F88}"/>
    <hyperlink ref="B38:C39" location="'Art J N'!A1" display="Zurück" xr:uid="{471B5F48-2EE1-4ABE-B98D-6CC4A21DE765}"/>
    <hyperlink ref="E38:F39" location="'8'!A1" display="Zum Plan " xr:uid="{9F258C85-7D05-47E5-A709-728EEE744E64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6090EF94-BE4D-42F1-9D6B-437C494FBF8A}">
          <x14:formula1>
            <xm:f>Daten!$B$2:$B$3</xm:f>
          </x14:formula1>
          <xm:sqref>D30 D32 D34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AF93-44A7-4F00-857F-9478F3DEB0C8}">
  <sheetPr>
    <pageSetUpPr fitToPage="1"/>
  </sheetPr>
  <dimension ref="C2:AD77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N R T '!U23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N R T 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N R T '!U11</f>
        <v>1444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N R T '!V46</f>
        <v>30436</v>
      </c>
      <c r="AA11" s="21">
        <v>1</v>
      </c>
      <c r="AB11" s="21" t="str">
        <f>'P J N R T '!W46</f>
        <v xml:space="preserve">Hawa Acoustics XS rechts 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N R T '!U42</f>
        <v>795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N R T '!U44</f>
        <v>815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N R T '!V29</f>
        <v>27673</v>
      </c>
      <c r="AA15" s="21">
        <v>1</v>
      </c>
      <c r="AB15" s="21" t="str">
        <f>'P J N R T '!W29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9:30" x14ac:dyDescent="0.25">
      <c r="Z17" s="22" t="s">
        <v>91</v>
      </c>
      <c r="AA17" s="22"/>
      <c r="AB17" s="22"/>
      <c r="AC17" s="22"/>
      <c r="AD17" s="22"/>
    </row>
    <row r="18" spans="19:30" x14ac:dyDescent="0.25">
      <c r="Z18" s="21">
        <f>'P J N R T '!V36</f>
        <v>27689</v>
      </c>
      <c r="AA18" s="21">
        <f>IF('P J N R T '!D30="JA",1,0)</f>
        <v>1</v>
      </c>
      <c r="AB18" s="21" t="str">
        <f>'P J N R T '!W36</f>
        <v>Clip-Blende 2000 mm</v>
      </c>
      <c r="AC18" s="21"/>
      <c r="AD18" s="21"/>
    </row>
    <row r="19" spans="19:30" x14ac:dyDescent="0.25">
      <c r="Z19" s="21">
        <f>IF('P J N R T '!D32="JA",Daten!L5,0)</f>
        <v>30434</v>
      </c>
      <c r="AA19" s="21">
        <f>IF('P J N R T '!D32="JA",1,0)</f>
        <v>1</v>
      </c>
      <c r="AB19" s="21" t="str">
        <f>IF('P J N R T '!D32="Ja",Daten!M5,0)</f>
        <v>Blendenendstück Set links</v>
      </c>
      <c r="AC19" s="21"/>
      <c r="AD19" s="21"/>
    </row>
    <row r="20" spans="19:30" x14ac:dyDescent="0.25">
      <c r="Z20" s="21">
        <f>IF('P J N R T '!D34="JA",Daten!L6,0)</f>
        <v>30435</v>
      </c>
      <c r="AA20" s="21">
        <f>IF('P J N R T '!D34="JA",1,0)</f>
        <v>1</v>
      </c>
      <c r="AB20" s="21" t="str">
        <f>IF('P J N R T '!D34="Ja",Daten!M6,0)</f>
        <v>Blendenendstück Set rechts</v>
      </c>
      <c r="AC20" s="21"/>
      <c r="AD20" s="21"/>
    </row>
    <row r="25" spans="19:30" x14ac:dyDescent="0.25">
      <c r="S25" s="16" t="s">
        <v>63</v>
      </c>
      <c r="T25" s="17">
        <f>T48-10</f>
        <v>20</v>
      </c>
      <c r="U25" s="18" t="s">
        <v>19</v>
      </c>
    </row>
    <row r="48" spans="3:21" x14ac:dyDescent="0.25">
      <c r="C48" s="16" t="s">
        <v>59</v>
      </c>
      <c r="D48" s="17">
        <f>'P J N R T '!U28</f>
        <v>1520</v>
      </c>
      <c r="E48" s="18" t="s">
        <v>19</v>
      </c>
      <c r="K48" s="16" t="s">
        <v>56</v>
      </c>
      <c r="L48" s="17">
        <f>'P J N R T '!D11</f>
        <v>750</v>
      </c>
      <c r="M48" s="18" t="s">
        <v>19</v>
      </c>
      <c r="S48" s="16" t="s">
        <v>57</v>
      </c>
      <c r="T48" s="17">
        <f>'P J N R T '!D23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N R T '!U13</f>
        <v>820</v>
      </c>
      <c r="M50" s="18" t="s">
        <v>19</v>
      </c>
      <c r="S50" s="16" t="s">
        <v>58</v>
      </c>
      <c r="T50" s="17">
        <f>'P J N R T '!D25</f>
        <v>6</v>
      </c>
      <c r="U50" s="18" t="s">
        <v>19</v>
      </c>
    </row>
    <row r="62" spans="3:21" x14ac:dyDescent="0.25">
      <c r="C62" s="16" t="s">
        <v>61</v>
      </c>
      <c r="D62" s="17">
        <f>'P J N R T '!U32</f>
        <v>1520</v>
      </c>
      <c r="E62" s="17" t="s">
        <v>19</v>
      </c>
      <c r="F62" s="17" t="s">
        <v>60</v>
      </c>
      <c r="G62" s="18"/>
      <c r="K62" s="16" t="s">
        <v>114</v>
      </c>
      <c r="L62" s="17">
        <f>'P J N R T '!D19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61</v>
      </c>
      <c r="D64" s="17">
        <f>D62+6</f>
        <v>1526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1532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FB65EC21-873A-4FA9-BBA6-7A7FACAC4013}"/>
    <hyperlink ref="C73:D74" location="'P J N R T '!A1" display="Zurück" xr:uid="{1E83B7D9-0806-4633-9A0F-0ED5AA6AD606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5CF2-2610-41C1-8888-42892600D5C1}">
  <sheetPr>
    <tabColor theme="3" tint="0.79998168889431442"/>
  </sheetPr>
  <dimension ref="B3:L24"/>
  <sheetViews>
    <sheetView zoomScale="85" zoomScaleNormal="85" workbookViewId="0"/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117"/>
      <c r="C3" s="129"/>
      <c r="D3" s="129"/>
      <c r="E3" s="129"/>
      <c r="F3" s="129"/>
      <c r="G3" s="129"/>
      <c r="H3" s="129"/>
      <c r="I3" s="129"/>
      <c r="J3" s="129"/>
      <c r="K3" s="129"/>
      <c r="L3" s="130"/>
    </row>
    <row r="4" spans="2:12" x14ac:dyDescent="0.25">
      <c r="B4" s="131"/>
      <c r="C4" s="132"/>
      <c r="D4" s="132"/>
      <c r="E4" s="132"/>
      <c r="F4" s="132"/>
      <c r="G4" s="132"/>
      <c r="H4" s="132"/>
      <c r="I4" s="132"/>
      <c r="J4" s="132"/>
      <c r="K4" s="132"/>
      <c r="L4" s="133"/>
    </row>
    <row r="5" spans="2:12" x14ac:dyDescent="0.25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36"/>
    </row>
    <row r="7" spans="2:12" ht="18.75" x14ac:dyDescent="0.3">
      <c r="B7" s="114" t="s">
        <v>117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99" t="s">
        <v>12</v>
      </c>
      <c r="C9" s="100"/>
      <c r="E9" s="99" t="s">
        <v>13</v>
      </c>
      <c r="F9" s="100"/>
      <c r="H9" s="99" t="s">
        <v>14</v>
      </c>
      <c r="I9" s="100"/>
      <c r="K9" s="99" t="s">
        <v>15</v>
      </c>
      <c r="L9" s="100"/>
    </row>
    <row r="10" spans="2:12" x14ac:dyDescent="0.25">
      <c r="B10" s="101"/>
      <c r="C10" s="102"/>
      <c r="E10" s="101"/>
      <c r="F10" s="102"/>
      <c r="H10" s="101"/>
      <c r="I10" s="102"/>
      <c r="K10" s="101"/>
      <c r="L10" s="102"/>
    </row>
    <row r="11" spans="2:12" x14ac:dyDescent="0.25">
      <c r="B11" s="101"/>
      <c r="C11" s="102"/>
      <c r="E11" s="101"/>
      <c r="F11" s="102"/>
      <c r="H11" s="101"/>
      <c r="I11" s="102"/>
      <c r="K11" s="101"/>
      <c r="L11" s="102"/>
    </row>
    <row r="12" spans="2:12" x14ac:dyDescent="0.25">
      <c r="B12" s="101"/>
      <c r="C12" s="102"/>
      <c r="E12" s="101"/>
      <c r="F12" s="102"/>
      <c r="H12" s="101"/>
      <c r="I12" s="102"/>
      <c r="K12" s="101"/>
      <c r="L12" s="102"/>
    </row>
    <row r="13" spans="2:12" x14ac:dyDescent="0.25">
      <c r="B13" s="101"/>
      <c r="C13" s="102"/>
      <c r="E13" s="101"/>
      <c r="F13" s="102"/>
      <c r="H13" s="101"/>
      <c r="I13" s="102"/>
      <c r="K13" s="101"/>
      <c r="L13" s="102"/>
    </row>
    <row r="14" spans="2:12" x14ac:dyDescent="0.25">
      <c r="B14" s="101"/>
      <c r="C14" s="102"/>
      <c r="E14" s="101"/>
      <c r="F14" s="102"/>
      <c r="H14" s="101"/>
      <c r="I14" s="102"/>
      <c r="K14" s="101"/>
      <c r="L14" s="102"/>
    </row>
    <row r="15" spans="2:12" x14ac:dyDescent="0.25">
      <c r="B15" s="101"/>
      <c r="C15" s="102"/>
      <c r="E15" s="101"/>
      <c r="F15" s="102"/>
      <c r="H15" s="101"/>
      <c r="I15" s="102"/>
      <c r="K15" s="101"/>
      <c r="L15" s="102"/>
    </row>
    <row r="16" spans="2:12" x14ac:dyDescent="0.25">
      <c r="B16" s="101"/>
      <c r="C16" s="102"/>
      <c r="E16" s="101"/>
      <c r="F16" s="102"/>
      <c r="H16" s="101"/>
      <c r="I16" s="102"/>
      <c r="K16" s="101"/>
      <c r="L16" s="102"/>
    </row>
    <row r="17" spans="2:12" x14ac:dyDescent="0.25">
      <c r="B17" s="101"/>
      <c r="C17" s="102"/>
      <c r="E17" s="101"/>
      <c r="F17" s="102"/>
      <c r="H17" s="101"/>
      <c r="I17" s="102"/>
      <c r="K17" s="101"/>
      <c r="L17" s="102"/>
    </row>
    <row r="18" spans="2:12" x14ac:dyDescent="0.25">
      <c r="B18" s="103"/>
      <c r="C18" s="104"/>
      <c r="E18" s="103"/>
      <c r="F18" s="104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B20:C21"/>
    <mergeCell ref="B23:C24"/>
    <mergeCell ref="B3:L5"/>
    <mergeCell ref="B7:L7"/>
    <mergeCell ref="B9:C18"/>
    <mergeCell ref="E9:F18"/>
    <mergeCell ref="H9:I18"/>
    <mergeCell ref="K9:L18"/>
  </mergeCells>
  <hyperlinks>
    <hyperlink ref="B23:C24" location="Startseite!A1" display="Home" xr:uid="{22F59D2A-2DD7-4A8C-8E22-4A9357616DF6}"/>
    <hyperlink ref="B20:C21" location="'Situation J'!A1" display="Zurück" xr:uid="{EFB20736-7437-42BD-BA04-9723EF8DD65A}"/>
    <hyperlink ref="B9:C18" location="'P J B L G '!A1" display="'P J B L G '!A1" xr:uid="{EC2CD29E-8D9D-4310-9A05-382657CAF070}"/>
    <hyperlink ref="E9:F18" location="'P J B L T '!A1" display="'P J B L T '!A1" xr:uid="{87838166-24DA-4BAD-AFE4-069488DE1884}"/>
    <hyperlink ref="H9:I18" location="'P J B R G '!A1" display="'P J B R G '!A1" xr:uid="{309F0E8D-8B4E-47D1-9FB9-95BBFCA23A26}"/>
    <hyperlink ref="K9:L18" location="'P J B R T  '!A1" display="'P J B R T  '!A1" xr:uid="{B6CC97DE-7705-4441-B1AC-EB870DBF0E26}"/>
  </hyperlinks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D4F8-2D23-410B-94F8-599B960BE50E}">
  <dimension ref="B3:X49"/>
  <sheetViews>
    <sheetView zoomScale="85" zoomScaleNormal="85" workbookViewId="0"/>
  </sheetViews>
  <sheetFormatPr baseColWidth="10" defaultRowHeight="15" outlineLevelCol="1" x14ac:dyDescent="0.25"/>
  <cols>
    <col min="1" max="1" width="11.42578125" style="1"/>
    <col min="2" max="2" width="15" style="1" customWidth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D13+D24+6+U22</f>
        <v>1576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D11+D24+120</f>
        <v>900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1.3680000000000001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34.200000000000003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ht="30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6" t="s">
        <v>47</v>
      </c>
      <c r="V21" s="5"/>
      <c r="W21" s="5"/>
    </row>
    <row r="22" spans="2:23" x14ac:dyDescent="0.25">
      <c r="B22" s="126" t="s">
        <v>119</v>
      </c>
      <c r="C22" s="127"/>
      <c r="D22" s="127"/>
      <c r="E22" s="127"/>
      <c r="F22" s="128"/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v>40</v>
      </c>
      <c r="V22" s="5" t="s">
        <v>19</v>
      </c>
      <c r="W22" s="5" t="s">
        <v>2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30</v>
      </c>
      <c r="C24" s="1" t="s">
        <v>31</v>
      </c>
      <c r="D24" s="34">
        <v>30</v>
      </c>
      <c r="E24" s="1" t="s">
        <v>19</v>
      </c>
      <c r="F24" s="1" t="s">
        <v>34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D26+5</f>
        <v>11</v>
      </c>
      <c r="V24" s="5" t="s">
        <v>19</v>
      </c>
      <c r="W24" s="5" t="s">
        <v>67</v>
      </c>
    </row>
    <row r="25" spans="2:23" ht="6" customHeight="1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B26" s="1" t="s">
        <v>120</v>
      </c>
      <c r="C26" s="1" t="s">
        <v>33</v>
      </c>
      <c r="D26" s="34">
        <v>6</v>
      </c>
      <c r="E26" s="1" t="s">
        <v>19</v>
      </c>
      <c r="F26" s="1" t="s">
        <v>32</v>
      </c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>
        <f>(2*U15)-120</f>
        <v>1680</v>
      </c>
      <c r="V26" s="5" t="s">
        <v>19</v>
      </c>
      <c r="W26" s="5" t="s">
        <v>48</v>
      </c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/>
      <c r="V27" s="5"/>
      <c r="W27" s="5"/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6" t="s">
        <v>49</v>
      </c>
      <c r="V28" s="5"/>
      <c r="W28" s="5"/>
    </row>
    <row r="29" spans="2:23" x14ac:dyDescent="0.25">
      <c r="B29" s="126" t="s">
        <v>191</v>
      </c>
      <c r="C29" s="127"/>
      <c r="D29" s="127"/>
      <c r="E29" s="127"/>
      <c r="F29" s="128"/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U26</f>
        <v>1680</v>
      </c>
      <c r="V29" s="5" t="s">
        <v>19</v>
      </c>
      <c r="W29" s="5" t="s">
        <v>48</v>
      </c>
    </row>
    <row r="30" spans="2:23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>
        <f>IF(U29&lt;2001,Daten!L2,IF(U29&lt;2501,Daten!L3,IF(U29&lt;3001,Daten!L4,0)))</f>
        <v>27673</v>
      </c>
      <c r="W30" s="5" t="str">
        <f>IF(V30=27673,Daten!M2,IF(V30=30323,Daten!M3,IF(V30=27672,Daten!M4,"siehe Katlaog")))</f>
        <v>Laufschiene, eloxiert, gelocht 2000 mm</v>
      </c>
    </row>
    <row r="31" spans="2:23" x14ac:dyDescent="0.25">
      <c r="B31" s="1" t="s">
        <v>36</v>
      </c>
      <c r="D31" s="34" t="s">
        <v>40</v>
      </c>
      <c r="F31" s="1" t="s">
        <v>39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6" t="s">
        <v>101</v>
      </c>
      <c r="V31" s="5"/>
      <c r="W31" s="5"/>
    </row>
    <row r="32" spans="2:23" ht="6" customHeight="1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x14ac:dyDescent="0.25">
      <c r="B33" s="1" t="s">
        <v>37</v>
      </c>
      <c r="D33" s="34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>
        <f>U29</f>
        <v>1680</v>
      </c>
      <c r="V33" s="5" t="s">
        <v>19</v>
      </c>
      <c r="W33" s="5" t="s">
        <v>100</v>
      </c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B35" s="1" t="s">
        <v>38</v>
      </c>
      <c r="D35" s="34" t="s">
        <v>40</v>
      </c>
      <c r="F35" s="1" t="s">
        <v>39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>
        <f>U24+54-1</f>
        <v>64</v>
      </c>
      <c r="V35" s="5" t="s">
        <v>19</v>
      </c>
      <c r="W35" s="5" t="s">
        <v>165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>
        <f>IF(U33&lt;2001,Daten!L8,IF(U33&lt;2501,Daten!L9,Daten!L10))</f>
        <v>27689</v>
      </c>
      <c r="W37" s="5" t="str">
        <f>IF(V37=27689,Daten!M8,IF(V37=30328,Daten!M9,Daten!M10))</f>
        <v>Clip-Blende 2000 mm</v>
      </c>
    </row>
    <row r="38" spans="2:23" ht="6" customHeight="1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B39" s="70" t="s">
        <v>16</v>
      </c>
      <c r="C39" s="71"/>
      <c r="E39" s="70" t="s">
        <v>111</v>
      </c>
      <c r="F39" s="71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2"/>
      <c r="C40" s="73"/>
      <c r="E40" s="72"/>
      <c r="F40" s="73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6" t="s">
        <v>53</v>
      </c>
      <c r="V41" s="5"/>
      <c r="W41" s="5"/>
    </row>
    <row r="42" spans="2:23" ht="6" customHeight="1" x14ac:dyDescent="0.25">
      <c r="B42" s="70" t="s">
        <v>8</v>
      </c>
      <c r="C42" s="71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B43" s="72"/>
      <c r="C43" s="73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>
        <f>U15-25</f>
        <v>875</v>
      </c>
      <c r="V43" s="5" t="s">
        <v>19</v>
      </c>
      <c r="W43" s="5" t="s">
        <v>110</v>
      </c>
    </row>
    <row r="44" spans="2:23" ht="6" customHeight="1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>
        <f>U15-5</f>
        <v>895</v>
      </c>
      <c r="V45" s="5" t="s">
        <v>19</v>
      </c>
      <c r="W45" s="5" t="s">
        <v>54</v>
      </c>
    </row>
    <row r="46" spans="2:23" ht="6" customHeight="1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J47" s="13"/>
      <c r="K47" s="14"/>
      <c r="L47" s="14"/>
      <c r="M47" s="14"/>
      <c r="N47" s="14"/>
      <c r="O47" s="14"/>
      <c r="P47" s="14"/>
      <c r="Q47" s="14"/>
      <c r="R47" s="15"/>
      <c r="S47" s="11"/>
      <c r="T47" s="5"/>
      <c r="U47" s="5"/>
      <c r="V47" s="5">
        <f>IF(U15&lt;931,Daten!F8,IF(U15&lt;1051,Daten!F9,IF(U15&lt;1181,Daten!F10,IF(U15&lt;1301,Daten!F11,Daten!F12))))</f>
        <v>30437</v>
      </c>
      <c r="W47" s="5" t="str">
        <f>IF(V47=30437,Daten!G8,IF(V47=30439,Daten!G9,IF(V47=30441,Daten!G10,IF(V47=30443,Daten!G11,Daten!G12))))</f>
        <v>Hawa Acoustics XS links</v>
      </c>
    </row>
    <row r="49" spans="10:10" x14ac:dyDescent="0.25">
      <c r="J49" s="19"/>
    </row>
  </sheetData>
  <sheetProtection sheet="1" objects="1" scenarios="1"/>
  <mergeCells count="8">
    <mergeCell ref="B42:C43"/>
    <mergeCell ref="B3:M5"/>
    <mergeCell ref="B7:M7"/>
    <mergeCell ref="B9:F9"/>
    <mergeCell ref="B22:F22"/>
    <mergeCell ref="B29:F29"/>
    <mergeCell ref="B39:C40"/>
    <mergeCell ref="E39:F40"/>
  </mergeCells>
  <conditionalFormatting sqref="D15">
    <cfRule type="expression" dxfId="27" priority="5">
      <formula>$D$15&gt;2550</formula>
    </cfRule>
  </conditionalFormatting>
  <conditionalFormatting sqref="H19">
    <cfRule type="expression" dxfId="26" priority="1">
      <formula>$H$19&gt;100</formula>
    </cfRule>
  </conditionalFormatting>
  <dataValidations count="8">
    <dataValidation type="whole" allowBlank="1" showInputMessage="1" showErrorMessage="1" errorTitle="Falsches Mass" error="Muss zwischen 30 und 60 mm sein" sqref="D24" xr:uid="{E82ED277-67F5-41BC-A019-1D07A35D3734}">
      <formula1>30</formula1>
      <formula2>60</formula2>
    </dataValidation>
    <dataValidation type="whole" allowBlank="1" showInputMessage="1" showErrorMessage="1" errorTitle="Falsches Mass" error="Muss zwischen 750 und 1250 mm sein" sqref="D27" xr:uid="{E37C631D-3210-48C9-BE1D-7FA639AE5C6C}">
      <formula1>6</formula1>
      <formula2>25</formula2>
    </dataValidation>
    <dataValidation allowBlank="1" showInputMessage="1" showErrorMessage="1" errorTitle="Flasches Mass" error="Muss zwischen 44 und 50 mm sein" sqref="D19" xr:uid="{247E358B-6AFE-41FA-A1D0-77EAB4C989D0}"/>
    <dataValidation type="whole" allowBlank="1" showInputMessage="1" showErrorMessage="1" errorTitle="Flasches Mass" error="Muss zwischen 1500 und 2550 mm sein" sqref="D15" xr:uid="{866A5D2F-EC67-4FDE-B31E-51C7C083B7E5}">
      <formula1>1500</formula1>
      <formula2>2550</formula2>
    </dataValidation>
    <dataValidation type="whole" allowBlank="1" showInputMessage="1" showErrorMessage="1" errorTitle="Falsches Mass" error="Muss zwischen 750 und 1250 mm sein" sqref="D11" xr:uid="{4B120BA1-C800-425A-94A2-67F9CBFAF068}">
      <formula1>750</formula1>
      <formula2>1250</formula2>
    </dataValidation>
    <dataValidation type="whole" allowBlank="1" showInputMessage="1" showErrorMessage="1" errorTitle="Falsches Mass" error="Muss zwischen 6 und 25 mm sein" sqref="D26" xr:uid="{2E51F812-9EB3-440E-9AB0-3F046739F9FA}">
      <formula1>6</formula1>
      <formula2>25</formula2>
    </dataValidation>
    <dataValidation type="whole" allowBlank="1" showInputMessage="1" showErrorMessage="1" errorTitle="Flasches Mass" error="Muss zwischen 44 und 50 mm sein_x000a_(bei kleiner 44 mm, verwenden sie Hawa Porta Acoustics)" sqref="D17" xr:uid="{55B01206-0B30-4507-8540-0CF4F88BCFEF}">
      <formula1>44</formula1>
      <formula2>50</formula2>
    </dataValidation>
    <dataValidation allowBlank="1" showInputMessage="1" showErrorMessage="1" errorTitle="Flasches Mass" error="Muss zwischen 1500 und 2550 mm sein" sqref="D13" xr:uid="{7E270AD9-33DA-4E14-805B-E35B56AEF5EF}"/>
  </dataValidations>
  <hyperlinks>
    <hyperlink ref="B42:C43" location="Startseite!A1" display="Home" xr:uid="{DE7EC3A1-B851-4D8C-B128-A0A65DDD5F42}"/>
    <hyperlink ref="B39:C40" location="'Art J B'!A1" display="Zurück" xr:uid="{9CD8B160-5F60-4406-8D35-B269C32743D8}"/>
    <hyperlink ref="E39:F40" location="'3'!A1" display="Zum Plan " xr:uid="{712AC8A8-7F0C-46FE-B7A5-903A969ABECB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C278A030-D30C-437A-8054-39205D1FF849}">
          <x14:formula1>
            <xm:f>Daten!$B$2:$B$3</xm:f>
          </x14:formula1>
          <xm:sqref>D31 D33 D35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AF74-FD28-43A4-85F5-1061C177EE04}">
  <sheetPr>
    <pageSetUpPr fitToPage="1"/>
  </sheetPr>
  <dimension ref="C2:AD77"/>
  <sheetViews>
    <sheetView zoomScale="70" zoomScaleNormal="70" workbookViewId="0">
      <selection activeCell="C73" sqref="C73:D74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B L G '!U24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B L G '!D15</f>
        <v>1576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B L G '!U11</f>
        <v>1520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B L G '!V47</f>
        <v>30437</v>
      </c>
      <c r="AA11" s="21">
        <v>1</v>
      </c>
      <c r="AB11" s="21" t="str">
        <f>'P J B L G '!W47</f>
        <v>Hawa Acoustics XS links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B L G '!U43</f>
        <v>875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B L G '!U45</f>
        <v>895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B L G '!V30</f>
        <v>27673</v>
      </c>
      <c r="AA15" s="21">
        <v>1</v>
      </c>
      <c r="AB15" s="21" t="str">
        <f>'P J B L G '!W30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B L G '!V37</f>
        <v>27689</v>
      </c>
      <c r="AA18" s="21">
        <f>IF('P J B L G '!D31="JA",1,0)</f>
        <v>1</v>
      </c>
      <c r="AB18" s="21" t="str">
        <f>'P J B L G '!W37</f>
        <v>Clip-Blende 2000 mm</v>
      </c>
      <c r="AC18" s="21"/>
      <c r="AD18" s="21"/>
    </row>
    <row r="19" spans="11:30" x14ac:dyDescent="0.25">
      <c r="Z19" s="21">
        <f>IF('P J B L G '!D33="JA",Daten!L5,0)</f>
        <v>30434</v>
      </c>
      <c r="AA19" s="21">
        <f>IF('P J B L G '!D33="JA",1,0)</f>
        <v>1</v>
      </c>
      <c r="AB19" s="21" t="str">
        <f>IF('P J B L G '!D33="Ja",Daten!M5,0)</f>
        <v>Blendenendstück Set links</v>
      </c>
      <c r="AC19" s="21"/>
      <c r="AD19" s="21"/>
    </row>
    <row r="20" spans="11:30" x14ac:dyDescent="0.25">
      <c r="Z20" s="21">
        <f>IF('P J B L G '!D35="JA",Daten!L6,0)</f>
        <v>30435</v>
      </c>
      <c r="AA20" s="21">
        <f>IF('P J B L G '!D35="JA",1,0)</f>
        <v>1</v>
      </c>
      <c r="AB20" s="21" t="str">
        <f>IF('P J B L G '!D35="Ja",Daten!M6,0)</f>
        <v>Blendenendstück Set rechts</v>
      </c>
      <c r="AC20" s="21"/>
      <c r="AD20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  <c r="T25" s="16" t="s">
        <v>64</v>
      </c>
      <c r="U25" s="17">
        <f>126-T48</f>
        <v>96</v>
      </c>
      <c r="V25" s="18" t="s">
        <v>19</v>
      </c>
    </row>
    <row r="48" spans="3:21" x14ac:dyDescent="0.25">
      <c r="C48" s="16" t="s">
        <v>59</v>
      </c>
      <c r="D48" s="17">
        <f>'P J B L G '!U26</f>
        <v>1680</v>
      </c>
      <c r="E48" s="18" t="s">
        <v>19</v>
      </c>
      <c r="K48" s="16" t="s">
        <v>56</v>
      </c>
      <c r="L48" s="17">
        <f>'P J B L G '!D11</f>
        <v>750</v>
      </c>
      <c r="M48" s="18" t="s">
        <v>19</v>
      </c>
      <c r="S48" s="16" t="s">
        <v>57</v>
      </c>
      <c r="T48" s="17">
        <f>'P J B L G '!D24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B L G '!U15</f>
        <v>900</v>
      </c>
      <c r="M50" s="18" t="s">
        <v>19</v>
      </c>
      <c r="S50" s="16" t="s">
        <v>58</v>
      </c>
      <c r="T50" s="17">
        <f>'P J B L G '!D26</f>
        <v>6</v>
      </c>
      <c r="U50" s="18" t="s">
        <v>19</v>
      </c>
    </row>
    <row r="62" spans="3:21" x14ac:dyDescent="0.25">
      <c r="C62" s="16" t="s">
        <v>61</v>
      </c>
      <c r="D62" s="17">
        <f>'P J B L G '!U33</f>
        <v>1680</v>
      </c>
      <c r="E62" s="17" t="s">
        <v>19</v>
      </c>
      <c r="F62" s="17" t="s">
        <v>60</v>
      </c>
      <c r="G62" s="18"/>
    </row>
    <row r="63" spans="3:21" ht="6" customHeight="1" x14ac:dyDescent="0.25"/>
    <row r="64" spans="3:21" x14ac:dyDescent="0.25">
      <c r="C64" s="16" t="s">
        <v>61</v>
      </c>
      <c r="D64" s="17">
        <f>D62+6</f>
        <v>1686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1692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C4193CE9-409F-4136-88C6-AF3DBEBA3996}"/>
    <hyperlink ref="C73:D74" location="'P J B L G '!A1" display="Zurück" xr:uid="{EE83670C-1AF1-4762-BB54-46EDD8FBE235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A30C-6DF5-4492-AD44-039C5ACF4E4A}">
  <dimension ref="B3:X50"/>
  <sheetViews>
    <sheetView zoomScale="85" zoomScaleNormal="85" workbookViewId="0">
      <selection activeCell="L21" sqref="L21"/>
    </sheetView>
  </sheetViews>
  <sheetFormatPr baseColWidth="10" defaultRowHeight="15" outlineLevelCol="1" x14ac:dyDescent="0.25"/>
  <cols>
    <col min="1" max="1" width="11.42578125" style="1"/>
    <col min="2" max="2" width="15.85546875" style="1" customWidth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D13+D25+6+U23</f>
        <v>1576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D11+(2*D25)+10</f>
        <v>820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1.2464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31.16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34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119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40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30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D27+5</f>
        <v>11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120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(2*U15)-D21</f>
        <v>1520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191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U27</f>
        <v>1520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>
        <f>IF(U30&lt;2001,Daten!L2,IF(U30&lt;2501,Daten!L3,IF(U30&lt;3001,Daten!L4,0)))</f>
        <v>27673</v>
      </c>
      <c r="W31" s="5" t="str">
        <f>IF(V31=27673,Daten!M2,IF(V31=30323,Daten!M3,IF(V31=27672,Daten!M4,"siehe Katlaog")))</f>
        <v>Laufschiene, eloxiert, gelocht 2000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37</v>
      </c>
      <c r="D34" s="34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U30</f>
        <v>1520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B36" s="1" t="s">
        <v>38</v>
      </c>
      <c r="D36" s="34" t="s">
        <v>40</v>
      </c>
      <c r="F36" s="1" t="s">
        <v>39</v>
      </c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U25+54-1</f>
        <v>64</v>
      </c>
      <c r="V36" s="5" t="s">
        <v>19</v>
      </c>
      <c r="W36" s="5" t="s">
        <v>165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>
        <f>IF(U34&lt;2001,Daten!L8,IF(U34&lt;2501,Daten!L9,Daten!L10))</f>
        <v>27689</v>
      </c>
      <c r="W38" s="5" t="str">
        <f>IF(V38=27689,Daten!M8,IF(V38=30328,Daten!M9,Daten!M10))</f>
        <v>Clip-Blende 2000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U15-25</f>
        <v>795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U15-5</f>
        <v>815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IF(U15&lt;931,Daten!F8,IF(U15&lt;1051,Daten!F9,IF(U15&lt;1181,Daten!F10,IF(U15&lt;1301,Daten!F11,Daten!F12))))</f>
        <v>30437</v>
      </c>
      <c r="W48" s="5" t="str">
        <f>IF(V48=30437,Daten!G8,IF(V48=30439,Daten!G9,IF(V48=30441,Daten!G10,IF(V48=30443,Daten!G11,Daten!G12))))</f>
        <v>Hawa Acoustics XS links</v>
      </c>
    </row>
    <row r="50" spans="10:10" x14ac:dyDescent="0.25">
      <c r="J50" s="19"/>
    </row>
  </sheetData>
  <sheetProtection sheet="1" objects="1" scenarios="1"/>
  <mergeCells count="8">
    <mergeCell ref="B43:C44"/>
    <mergeCell ref="B3:M5"/>
    <mergeCell ref="B7:M7"/>
    <mergeCell ref="B9:F9"/>
    <mergeCell ref="B23:F23"/>
    <mergeCell ref="B30:F30"/>
    <mergeCell ref="B40:C41"/>
    <mergeCell ref="E40:F41"/>
  </mergeCells>
  <conditionalFormatting sqref="D15">
    <cfRule type="expression" dxfId="25" priority="2">
      <formula>$D$15&gt;2550</formula>
    </cfRule>
  </conditionalFormatting>
  <conditionalFormatting sqref="H19">
    <cfRule type="expression" dxfId="24" priority="1">
      <formula>$H$19&gt;100</formula>
    </cfRule>
  </conditionalFormatting>
  <dataValidations count="9">
    <dataValidation type="whole" operator="greaterThan" allowBlank="1" showInputMessage="1" showErrorMessage="1" errorTitle="Flasches Mass" error="Muss min. 120 mm sein" sqref="D21" xr:uid="{17EC99C9-F052-4142-8BF4-5F6C752EF03E}">
      <formula1>119</formula1>
    </dataValidation>
    <dataValidation type="whole" allowBlank="1" showInputMessage="1" showErrorMessage="1" errorTitle="Falsches Mass" error="Muss zwischen 750 und 1250 mm sein" sqref="D11" xr:uid="{48C65B17-0B21-4A54-8DA1-44719E0A7591}">
      <formula1>750</formula1>
      <formula2>1250</formula2>
    </dataValidation>
    <dataValidation type="whole" allowBlank="1" showInputMessage="1" showErrorMessage="1" errorTitle="Flasches Mass" error="Muss zwischen 1500 und 2550 mm sein" sqref="D15" xr:uid="{1495A708-C9A1-4824-BEA3-2AEE6E41FFA3}">
      <formula1>1500</formula1>
      <formula2>2550</formula2>
    </dataValidation>
    <dataValidation allowBlank="1" showInputMessage="1" showErrorMessage="1" errorTitle="Flasches Mass" error="Muss zwischen 44 und 50 mm sein" sqref="D19:D20" xr:uid="{18FFA0AD-7C91-4961-A50C-B24BB0C9B0A0}"/>
    <dataValidation type="whole" allowBlank="1" showInputMessage="1" showErrorMessage="1" errorTitle="Falsches Mass" error="Muss zwischen 750 und 1250 mm sein" sqref="D28" xr:uid="{63C583AA-8765-45DF-A168-14894AB7C7DF}">
      <formula1>6</formula1>
      <formula2>25</formula2>
    </dataValidation>
    <dataValidation type="whole" allowBlank="1" showInputMessage="1" showErrorMessage="1" errorTitle="Falsches Mass" error="Muss zwischen 30 und 60 mm sein" sqref="D25" xr:uid="{E654A578-9DEE-41EF-9242-3B37CF1ED9D7}">
      <formula1>30</formula1>
      <formula2>60</formula2>
    </dataValidation>
    <dataValidation type="whole" allowBlank="1" showInputMessage="1" showErrorMessage="1" errorTitle="Falsches Mass" error="Muss zwischen 6 und 25 mm sein" sqref="D27" xr:uid="{683CECA9-B2F5-49BD-A112-1EB13BFF7C5E}">
      <formula1>6</formula1>
      <formula2>25</formula2>
    </dataValidation>
    <dataValidation type="whole" allowBlank="1" showInputMessage="1" showErrorMessage="1" errorTitle="Flasches Mass" error="Muss zwischen 44 und 50 mm sein_x000a_(bei kleiner 44 mm, verwenden sie Hawa Porta Acoustics)" sqref="D17" xr:uid="{F3521D70-1FAB-4ED4-9B4E-00E1843E2ED0}">
      <formula1>44</formula1>
      <formula2>50</formula2>
    </dataValidation>
    <dataValidation allowBlank="1" showInputMessage="1" showErrorMessage="1" errorTitle="Flasches Mass" error="Muss zwischen 1500 und 2550 mm sein" sqref="D13" xr:uid="{6CC38293-1FA2-47DA-9ACC-B2FFE686A61F}"/>
  </dataValidations>
  <hyperlinks>
    <hyperlink ref="B43:C44" location="Startseite!A1" display="Home" xr:uid="{922B7DE0-7539-4989-B58F-8807D0A6F92D}"/>
    <hyperlink ref="B40:C41" location="'Art J B'!A1" display="Zurück" xr:uid="{1F77D4A8-033D-49C3-A46C-5189D2BF521E}"/>
    <hyperlink ref="E40:F41" location="'4'!A1" display="Zum Plan " xr:uid="{27807B42-6A60-410D-9F9F-43461AA74DD8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BFDA092C-B85D-413A-A97B-A6611BB9427E}">
          <x14:formula1>
            <xm:f>Daten!$B$2:$B$3</xm:f>
          </x14:formula1>
          <xm:sqref>D32 D34 D36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E10E-30F2-4486-A042-9F0AD9F8EDE3}">
  <sheetPr>
    <pageSetUpPr fitToPage="1"/>
  </sheetPr>
  <dimension ref="C2:AD77"/>
  <sheetViews>
    <sheetView zoomScale="70" zoomScaleNormal="70" workbookViewId="0">
      <selection activeCell="P64" sqref="P64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4.71093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B L T '!U25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B L T '!D15</f>
        <v>1576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B L T '!U11</f>
        <v>1520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B L T '!V48</f>
        <v>30437</v>
      </c>
      <c r="AA11" s="21">
        <v>1</v>
      </c>
      <c r="AB11" s="21" t="str">
        <f>'P J B L T '!W48</f>
        <v>Hawa Acoustics XS links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B L T '!U44</f>
        <v>795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B L T '!U46</f>
        <v>815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B L T '!V31</f>
        <v>27673</v>
      </c>
      <c r="AA15" s="21">
        <v>1</v>
      </c>
      <c r="AB15" s="21" t="str">
        <f>'P J B L T '!W31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B L T '!V38</f>
        <v>27689</v>
      </c>
      <c r="AA18" s="21">
        <f>IF('P J B L T '!D32="JA",1,0)</f>
        <v>1</v>
      </c>
      <c r="AB18" s="21" t="str">
        <f>'P J B L T '!W38</f>
        <v>Clip-Blende 2000 mm</v>
      </c>
      <c r="AC18" s="21"/>
      <c r="AD18" s="21"/>
    </row>
    <row r="19" spans="11:30" x14ac:dyDescent="0.25">
      <c r="Z19" s="21">
        <f>IF('P J B L T '!D34="JA",Daten!L5,0)</f>
        <v>30434</v>
      </c>
      <c r="AA19" s="21">
        <f>IF('P J B L T '!D34="JA",1,0)</f>
        <v>1</v>
      </c>
      <c r="AB19" s="21" t="str">
        <f>IF('P J B L T '!D34="Ja",Daten!M5,0)</f>
        <v>Blendenendstück Set links</v>
      </c>
      <c r="AC19" s="21"/>
      <c r="AD19" s="21"/>
    </row>
    <row r="20" spans="11:30" x14ac:dyDescent="0.25">
      <c r="Z20" s="21">
        <f>IF('P J B L T '!D36="JA",Daten!L6,0)</f>
        <v>30435</v>
      </c>
      <c r="AA20" s="21">
        <f>IF('P J B L T '!D36="JA",1,0)</f>
        <v>1</v>
      </c>
      <c r="AB20" s="21" t="str">
        <f>IF('P J B L T '!D34="Ja",Daten!M6,0)</f>
        <v>Blendenendstück Set rechts</v>
      </c>
      <c r="AC20" s="21"/>
      <c r="AD20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</row>
    <row r="48" spans="3:21" x14ac:dyDescent="0.25">
      <c r="C48" s="16" t="s">
        <v>59</v>
      </c>
      <c r="D48" s="17">
        <f>'P J B L T '!U30</f>
        <v>1520</v>
      </c>
      <c r="E48" s="18" t="s">
        <v>19</v>
      </c>
      <c r="K48" s="16" t="s">
        <v>56</v>
      </c>
      <c r="L48" s="17">
        <f>'P J B L T '!D11</f>
        <v>750</v>
      </c>
      <c r="M48" s="18" t="s">
        <v>19</v>
      </c>
      <c r="S48" s="16" t="s">
        <v>57</v>
      </c>
      <c r="T48" s="17">
        <f>'P J B L T '!D25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B L T '!U15</f>
        <v>820</v>
      </c>
      <c r="M50" s="18" t="s">
        <v>19</v>
      </c>
      <c r="S50" s="16" t="s">
        <v>58</v>
      </c>
      <c r="T50" s="17">
        <f>'P J B L T '!D27</f>
        <v>6</v>
      </c>
      <c r="U50" s="18" t="s">
        <v>19</v>
      </c>
    </row>
    <row r="62" spans="3:21" x14ac:dyDescent="0.25">
      <c r="C62" s="16" t="s">
        <v>61</v>
      </c>
      <c r="D62" s="17">
        <f>'P J B L T '!U34</f>
        <v>1520</v>
      </c>
      <c r="E62" s="17" t="s">
        <v>19</v>
      </c>
      <c r="F62" s="17" t="s">
        <v>60</v>
      </c>
      <c r="G62" s="18"/>
      <c r="K62" s="16" t="s">
        <v>114</v>
      </c>
      <c r="L62" s="17">
        <f>'P J B L T '!D21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61</v>
      </c>
      <c r="D64" s="17">
        <f>D62+6</f>
        <v>1526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1532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6756B87D-BABF-4A1D-B8A8-02A96B0A3E54}"/>
    <hyperlink ref="C73:D74" location="'P J B L T '!A1" display="Zurück" xr:uid="{15F73A44-7DF4-4FA9-A61D-7B064C4E44F1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3709-0338-4A39-A7EB-45C6BC1415F4}">
  <dimension ref="B3:X49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147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D13+D24+6+U22</f>
        <v>1576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D11+D24+120</f>
        <v>900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1.3680000000000001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34.200000000000003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ht="30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6" t="s">
        <v>47</v>
      </c>
      <c r="V21" s="5"/>
      <c r="W21" s="5"/>
    </row>
    <row r="22" spans="2:23" x14ac:dyDescent="0.25">
      <c r="B22" s="126" t="s">
        <v>119</v>
      </c>
      <c r="C22" s="127"/>
      <c r="D22" s="127"/>
      <c r="E22" s="127"/>
      <c r="F22" s="128"/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v>40</v>
      </c>
      <c r="V22" s="5" t="s">
        <v>19</v>
      </c>
      <c r="W22" s="5" t="s">
        <v>2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30</v>
      </c>
      <c r="C24" s="1" t="s">
        <v>31</v>
      </c>
      <c r="D24" s="34">
        <v>30</v>
      </c>
      <c r="E24" s="1" t="s">
        <v>19</v>
      </c>
      <c r="F24" s="1" t="s">
        <v>34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D26+5</f>
        <v>11</v>
      </c>
      <c r="V24" s="5" t="s">
        <v>19</v>
      </c>
      <c r="W24" s="5" t="s">
        <v>67</v>
      </c>
    </row>
    <row r="25" spans="2:23" ht="6" customHeight="1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B26" s="1" t="s">
        <v>2</v>
      </c>
      <c r="C26" s="1" t="s">
        <v>33</v>
      </c>
      <c r="D26" s="34">
        <v>6</v>
      </c>
      <c r="E26" s="1" t="s">
        <v>19</v>
      </c>
      <c r="F26" s="1" t="s">
        <v>32</v>
      </c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>
        <f>(2*U15)-120</f>
        <v>1680</v>
      </c>
      <c r="V26" s="5" t="s">
        <v>19</v>
      </c>
      <c r="W26" s="5" t="s">
        <v>48</v>
      </c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/>
      <c r="V27" s="5"/>
      <c r="W27" s="5"/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6" t="s">
        <v>49</v>
      </c>
      <c r="V28" s="5"/>
      <c r="W28" s="5"/>
    </row>
    <row r="29" spans="2:23" x14ac:dyDescent="0.25">
      <c r="B29" s="126" t="s">
        <v>191</v>
      </c>
      <c r="C29" s="127"/>
      <c r="D29" s="127"/>
      <c r="E29" s="127"/>
      <c r="F29" s="128"/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U26</f>
        <v>1680</v>
      </c>
      <c r="V29" s="5" t="s">
        <v>19</v>
      </c>
      <c r="W29" s="5" t="s">
        <v>48</v>
      </c>
    </row>
    <row r="30" spans="2:23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>
        <f>IF(U29&lt;2001,Daten!L2,IF(U29&lt;2501,Daten!L3,IF(U29&lt;3001,Daten!L4,0)))</f>
        <v>27673</v>
      </c>
      <c r="W30" s="5" t="str">
        <f>IF(V30=27673,Daten!M2,IF(V30=30323,Daten!M3,IF(V30=27672,Daten!M4,"siehe Katlaog")))</f>
        <v>Laufschiene, eloxiert, gelocht 2000 mm</v>
      </c>
    </row>
    <row r="31" spans="2:23" x14ac:dyDescent="0.25">
      <c r="B31" s="1" t="s">
        <v>36</v>
      </c>
      <c r="D31" s="34" t="s">
        <v>40</v>
      </c>
      <c r="F31" s="1" t="s">
        <v>39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6" t="s">
        <v>101</v>
      </c>
      <c r="V31" s="5"/>
      <c r="W31" s="5"/>
    </row>
    <row r="32" spans="2:23" ht="6" customHeight="1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x14ac:dyDescent="0.25">
      <c r="B33" s="1" t="s">
        <v>37</v>
      </c>
      <c r="D33" s="34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>
        <f>U29</f>
        <v>1680</v>
      </c>
      <c r="V33" s="5" t="s">
        <v>19</v>
      </c>
      <c r="W33" s="5" t="s">
        <v>100</v>
      </c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B35" s="1" t="s">
        <v>38</v>
      </c>
      <c r="D35" s="34" t="s">
        <v>40</v>
      </c>
      <c r="F35" s="1" t="s">
        <v>39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>
        <f>U24+54-1</f>
        <v>64</v>
      </c>
      <c r="V35" s="5" t="s">
        <v>19</v>
      </c>
      <c r="W35" s="5" t="s">
        <v>165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>
        <f>IF(U33&lt;2001,Daten!L8,IF(U33&lt;2501,Daten!L9,Daten!L10))</f>
        <v>27689</v>
      </c>
      <c r="W37" s="5" t="str">
        <f>IF(V37=27689,Daten!M8,IF(V37=30328,Daten!M9,Daten!M10))</f>
        <v>Clip-Blende 2000 mm</v>
      </c>
    </row>
    <row r="38" spans="2:23" ht="6" customHeight="1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B39" s="70" t="s">
        <v>16</v>
      </c>
      <c r="C39" s="71"/>
      <c r="E39" s="70" t="s">
        <v>111</v>
      </c>
      <c r="F39" s="71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2"/>
      <c r="C40" s="73"/>
      <c r="E40" s="72"/>
      <c r="F40" s="73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6" t="s">
        <v>53</v>
      </c>
      <c r="V41" s="5"/>
      <c r="W41" s="5"/>
    </row>
    <row r="42" spans="2:23" ht="6" customHeight="1" x14ac:dyDescent="0.25">
      <c r="B42" s="70" t="s">
        <v>8</v>
      </c>
      <c r="C42" s="71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B43" s="72"/>
      <c r="C43" s="73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>
        <f>U15-25</f>
        <v>875</v>
      </c>
      <c r="V43" s="5" t="s">
        <v>19</v>
      </c>
      <c r="W43" s="5" t="s">
        <v>110</v>
      </c>
    </row>
    <row r="44" spans="2:23" ht="6" customHeight="1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>
        <f>U15-5</f>
        <v>895</v>
      </c>
      <c r="V45" s="5" t="s">
        <v>19</v>
      </c>
      <c r="W45" s="5" t="s">
        <v>54</v>
      </c>
    </row>
    <row r="46" spans="2:23" ht="6" customHeight="1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J47" s="13"/>
      <c r="K47" s="14"/>
      <c r="L47" s="14"/>
      <c r="M47" s="14"/>
      <c r="N47" s="14"/>
      <c r="O47" s="14"/>
      <c r="P47" s="14"/>
      <c r="Q47" s="14"/>
      <c r="R47" s="15"/>
      <c r="S47" s="11"/>
      <c r="T47" s="5"/>
      <c r="U47" s="5"/>
      <c r="V47" s="5">
        <f>IF(U15&lt;931,Daten!I8,IF(U15&lt;1051,Daten!I9,IF(U15&lt;1181,Daten!I10,IF(U15&lt;1301,Daten!I11,Daten!I12))))</f>
        <v>30436</v>
      </c>
      <c r="W47" s="5" t="str">
        <f>IF(V47=30436,Daten!J8,IF(V47=30438,Daten!J9,IF(V47=30440,Daten!J10,IF(V47=30442,Daten!J11,Daten!J12))))</f>
        <v xml:space="preserve">Hawa Acoustics XS rechts </v>
      </c>
    </row>
    <row r="49" spans="10:10" x14ac:dyDescent="0.25">
      <c r="J49" s="19"/>
    </row>
  </sheetData>
  <sheetProtection sheet="1" objects="1" scenarios="1"/>
  <mergeCells count="8">
    <mergeCell ref="B42:C43"/>
    <mergeCell ref="B3:M5"/>
    <mergeCell ref="B7:M7"/>
    <mergeCell ref="B9:F9"/>
    <mergeCell ref="B22:F22"/>
    <mergeCell ref="B29:F29"/>
    <mergeCell ref="B39:C40"/>
    <mergeCell ref="E39:F40"/>
  </mergeCells>
  <conditionalFormatting sqref="D15">
    <cfRule type="expression" dxfId="23" priority="2">
      <formula>$D$15&gt;2550</formula>
    </cfRule>
  </conditionalFormatting>
  <conditionalFormatting sqref="H19">
    <cfRule type="expression" dxfId="22" priority="1">
      <formula>$H$19&gt;100</formula>
    </cfRule>
  </conditionalFormatting>
  <dataValidations count="8">
    <dataValidation type="whole" allowBlank="1" showInputMessage="1" showErrorMessage="1" errorTitle="Falsches Mass" error="Muss zwischen 750 und 1250 mm sein" sqref="D11" xr:uid="{58DC43DE-7A6A-4FAE-AB78-0607C39C53BF}">
      <formula1>750</formula1>
      <formula2>1250</formula2>
    </dataValidation>
    <dataValidation type="whole" allowBlank="1" showInputMessage="1" showErrorMessage="1" errorTitle="Flasches Mass" error="Muss zwischen 1500 und 2550 mm sein" sqref="D15" xr:uid="{AE0A7349-7294-4B5F-8D32-D1B71B73B8C7}">
      <formula1>1500</formula1>
      <formula2>2550</formula2>
    </dataValidation>
    <dataValidation allowBlank="1" showInputMessage="1" showErrorMessage="1" errorTitle="Flasches Mass" error="Muss zwischen 44 und 50 mm sein" sqref="D19" xr:uid="{23BF445B-1CF8-405D-B080-B722C01574F1}"/>
    <dataValidation type="whole" allowBlank="1" showInputMessage="1" showErrorMessage="1" errorTitle="Falsches Mass" error="Muss zwischen 750 und 1250 mm sein" sqref="D27" xr:uid="{9081A75B-61C3-4566-94CB-F17030833E85}">
      <formula1>6</formula1>
      <formula2>25</formula2>
    </dataValidation>
    <dataValidation type="whole" allowBlank="1" showInputMessage="1" showErrorMessage="1" errorTitle="Falsches Mass" error="Muss zwischen 30 und 60 mm sein" sqref="D24" xr:uid="{7356435A-CC61-4B2E-9F2F-AA485F0CE546}">
      <formula1>30</formula1>
      <formula2>60</formula2>
    </dataValidation>
    <dataValidation type="whole" allowBlank="1" showInputMessage="1" showErrorMessage="1" errorTitle="Falsches Mass" error="Muss zwischen 6 und 25 mm sein" sqref="D26" xr:uid="{196BFF05-958F-41D3-B3FD-E58D9809DC39}">
      <formula1>6</formula1>
      <formula2>25</formula2>
    </dataValidation>
    <dataValidation type="whole" allowBlank="1" showInputMessage="1" showErrorMessage="1" errorTitle="Flasches Mass" error="Muss zwischen 44 und 50 mm sein_x000a_(bei kleiner 44 mm, verwenden sie Hawa Porta Acoustics)" sqref="D17" xr:uid="{BA0C70B5-1D44-4816-83F2-DA899325CAF6}">
      <formula1>44</formula1>
      <formula2>50</formula2>
    </dataValidation>
    <dataValidation allowBlank="1" showInputMessage="1" showErrorMessage="1" errorTitle="Flasches Mass" error="Muss zwischen 1500 und 2550 mm sein" sqref="D13" xr:uid="{AEF7DBAE-29FD-4F21-8350-747C7809F2DB}"/>
  </dataValidations>
  <hyperlinks>
    <hyperlink ref="B42:C43" location="Startseite!A1" display="Home" xr:uid="{83D7F81D-DD5D-451F-84C1-6A296B30ABB1}"/>
    <hyperlink ref="B39:C40" location="'Art J B'!A1" display="Zurück" xr:uid="{F05DD98B-16C3-49CC-A53C-A636C388FF2A}"/>
    <hyperlink ref="E39:F40" location="'9'!A1" display="Zum Plan " xr:uid="{972B2BF0-F0F8-4712-B3B8-95A393B90737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DC0C7572-9BF4-4D6D-8821-6CF136778548}">
          <x14:formula1>
            <xm:f>Daten!$B$2:$B$3</xm:f>
          </x14:formula1>
          <xm:sqref>D31 D33 D35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956C-C0F5-4E1A-9D74-4422EF143944}">
  <sheetPr>
    <pageSetUpPr fitToPage="1"/>
  </sheetPr>
  <dimension ref="C2:AD77"/>
  <sheetViews>
    <sheetView zoomScale="70" zoomScaleNormal="70" workbookViewId="0">
      <selection activeCell="C73" sqref="C73:D74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B R G '!U24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B R G '!D15</f>
        <v>1576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B R G '!U11</f>
        <v>1520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B R G '!V47</f>
        <v>30436</v>
      </c>
      <c r="AA11" s="21">
        <v>1</v>
      </c>
      <c r="AB11" s="21" t="str">
        <f>'P J B R G '!W47</f>
        <v xml:space="preserve">Hawa Acoustics XS rechts 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B R G '!U43</f>
        <v>875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B R G '!U45</f>
        <v>895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B R G '!V30</f>
        <v>27673</v>
      </c>
      <c r="AA15" s="21">
        <v>1</v>
      </c>
      <c r="AB15" s="21" t="str">
        <f>'P J B R G '!W30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B R G '!V37</f>
        <v>27689</v>
      </c>
      <c r="AA18" s="21">
        <f>IF('P J B R G '!D31="JA",1,0)</f>
        <v>1</v>
      </c>
      <c r="AB18" s="21" t="str">
        <f>'P J B R G '!W37</f>
        <v>Clip-Blende 2000 mm</v>
      </c>
      <c r="AC18" s="21"/>
      <c r="AD18" s="21"/>
    </row>
    <row r="19" spans="11:30" x14ac:dyDescent="0.25">
      <c r="Z19" s="21">
        <f>IF('P J B R G '!D33="JA",Daten!L5,0)</f>
        <v>30434</v>
      </c>
      <c r="AA19" s="21">
        <f>IF('P J B R G '!D33="JA",1,0)</f>
        <v>1</v>
      </c>
      <c r="AB19" s="21" t="str">
        <f>IF('P J B R G '!D33="Ja",Daten!M5,0)</f>
        <v>Blendenendstück Set links</v>
      </c>
      <c r="AC19" s="21"/>
      <c r="AD19" s="21"/>
    </row>
    <row r="20" spans="11:30" x14ac:dyDescent="0.25">
      <c r="Z20" s="21">
        <f>IF('P J B R G '!D35="JA",Daten!L6,0)</f>
        <v>30435</v>
      </c>
      <c r="AA20" s="21">
        <f>IF('P J B R G '!D35="JA",1,0)</f>
        <v>1</v>
      </c>
      <c r="AB20" s="21" t="str">
        <f>IF('P J B R G '!D35="Ja",Daten!M6,0)</f>
        <v>Blendenendstück Set rechts</v>
      </c>
      <c r="AC20" s="21"/>
      <c r="AD20" s="21"/>
    </row>
    <row r="25" spans="11:30" x14ac:dyDescent="0.25">
      <c r="K25" s="16" t="s">
        <v>145</v>
      </c>
      <c r="L25" s="17">
        <f>126-T48</f>
        <v>96</v>
      </c>
      <c r="M25" s="17" t="s">
        <v>19</v>
      </c>
      <c r="N25" s="18"/>
      <c r="T25" s="16" t="s">
        <v>146</v>
      </c>
      <c r="U25" s="17">
        <f>T48-10</f>
        <v>20</v>
      </c>
      <c r="V25" s="18" t="s">
        <v>19</v>
      </c>
    </row>
    <row r="48" spans="3:21" x14ac:dyDescent="0.25">
      <c r="C48" s="16" t="s">
        <v>59</v>
      </c>
      <c r="D48" s="17">
        <f>'P J B R G '!U29</f>
        <v>1680</v>
      </c>
      <c r="E48" s="18" t="s">
        <v>19</v>
      </c>
      <c r="K48" s="16" t="s">
        <v>56</v>
      </c>
      <c r="L48" s="17">
        <f>'P J B R G '!D11</f>
        <v>750</v>
      </c>
      <c r="M48" s="18" t="s">
        <v>19</v>
      </c>
      <c r="S48" s="16" t="s">
        <v>57</v>
      </c>
      <c r="T48" s="17">
        <f>'P J B R G '!D24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B R G '!U15</f>
        <v>900</v>
      </c>
      <c r="M50" s="18" t="s">
        <v>19</v>
      </c>
      <c r="S50" s="16" t="s">
        <v>58</v>
      </c>
      <c r="T50" s="17">
        <f>'P J B R G '!D26</f>
        <v>6</v>
      </c>
      <c r="U50" s="18" t="s">
        <v>19</v>
      </c>
    </row>
    <row r="62" spans="3:21" x14ac:dyDescent="0.25">
      <c r="C62" s="16" t="s">
        <v>61</v>
      </c>
      <c r="D62" s="17">
        <f>'P J B R G '!U33</f>
        <v>1680</v>
      </c>
      <c r="E62" s="17" t="s">
        <v>19</v>
      </c>
      <c r="F62" s="17" t="s">
        <v>60</v>
      </c>
      <c r="G62" s="18"/>
    </row>
    <row r="63" spans="3:21" ht="6" customHeight="1" x14ac:dyDescent="0.25"/>
    <row r="64" spans="3:21" x14ac:dyDescent="0.25">
      <c r="C64" s="16" t="s">
        <v>61</v>
      </c>
      <c r="D64" s="17">
        <f>D62+6</f>
        <v>1686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1692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0EB56018-4E48-43A7-B128-1B2C55BA6CE8}"/>
    <hyperlink ref="C73:D74" location="'P J B R G '!A1" display="Zurück" xr:uid="{69A1228B-F694-4CFC-8D6F-FAF7AB2893E6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915B-A033-4926-885F-2F7C92A17A84}">
  <dimension ref="B3:H25"/>
  <sheetViews>
    <sheetView workbookViewId="0"/>
  </sheetViews>
  <sheetFormatPr baseColWidth="10" defaultRowHeight="15" x14ac:dyDescent="0.25"/>
  <cols>
    <col min="1" max="3" width="11.42578125" style="1"/>
    <col min="4" max="4" width="19.85546875" style="1" customWidth="1"/>
    <col min="5" max="7" width="11.42578125" style="1"/>
    <col min="8" max="8" width="20.85546875" style="1" customWidth="1"/>
    <col min="9" max="16384" width="11.42578125" style="1"/>
  </cols>
  <sheetData>
    <row r="3" spans="2:8" x14ac:dyDescent="0.25">
      <c r="B3" s="61"/>
      <c r="C3" s="62"/>
      <c r="D3" s="62"/>
      <c r="E3" s="62"/>
      <c r="F3" s="62"/>
      <c r="G3" s="62"/>
      <c r="H3" s="63"/>
    </row>
    <row r="4" spans="2:8" x14ac:dyDescent="0.25">
      <c r="B4" s="64"/>
      <c r="C4" s="65"/>
      <c r="D4" s="65"/>
      <c r="E4" s="65"/>
      <c r="F4" s="65"/>
      <c r="G4" s="65"/>
      <c r="H4" s="66"/>
    </row>
    <row r="5" spans="2:8" x14ac:dyDescent="0.25">
      <c r="B5" s="67"/>
      <c r="C5" s="68"/>
      <c r="D5" s="68"/>
      <c r="E5" s="68"/>
      <c r="F5" s="68"/>
      <c r="G5" s="68"/>
      <c r="H5" s="69"/>
    </row>
    <row r="7" spans="2:8" x14ac:dyDescent="0.25">
      <c r="B7" s="83" t="s">
        <v>4</v>
      </c>
      <c r="C7" s="84"/>
      <c r="D7" s="85"/>
      <c r="F7" s="83" t="s">
        <v>5</v>
      </c>
      <c r="G7" s="84"/>
      <c r="H7" s="85"/>
    </row>
    <row r="9" spans="2:8" x14ac:dyDescent="0.25">
      <c r="B9" s="74" t="s">
        <v>3</v>
      </c>
      <c r="C9" s="75"/>
      <c r="D9" s="76"/>
      <c r="F9" s="74" t="s">
        <v>6</v>
      </c>
      <c r="G9" s="75"/>
      <c r="H9" s="76"/>
    </row>
    <row r="10" spans="2:8" x14ac:dyDescent="0.25">
      <c r="B10" s="77"/>
      <c r="C10" s="78"/>
      <c r="D10" s="79"/>
      <c r="F10" s="77"/>
      <c r="G10" s="78"/>
      <c r="H10" s="79"/>
    </row>
    <row r="11" spans="2:8" x14ac:dyDescent="0.25">
      <c r="B11" s="77"/>
      <c r="C11" s="78"/>
      <c r="D11" s="79"/>
      <c r="F11" s="77"/>
      <c r="G11" s="78"/>
      <c r="H11" s="79"/>
    </row>
    <row r="12" spans="2:8" x14ac:dyDescent="0.25">
      <c r="B12" s="77"/>
      <c r="C12" s="78"/>
      <c r="D12" s="79"/>
      <c r="F12" s="77"/>
      <c r="G12" s="78"/>
      <c r="H12" s="79"/>
    </row>
    <row r="13" spans="2:8" x14ac:dyDescent="0.25">
      <c r="B13" s="77"/>
      <c r="C13" s="78"/>
      <c r="D13" s="79"/>
      <c r="F13" s="77"/>
      <c r="G13" s="78"/>
      <c r="H13" s="79"/>
    </row>
    <row r="14" spans="2:8" x14ac:dyDescent="0.25">
      <c r="B14" s="77"/>
      <c r="C14" s="78"/>
      <c r="D14" s="79"/>
      <c r="F14" s="77"/>
      <c r="G14" s="78"/>
      <c r="H14" s="79"/>
    </row>
    <row r="15" spans="2:8" x14ac:dyDescent="0.25">
      <c r="B15" s="77"/>
      <c r="C15" s="78"/>
      <c r="D15" s="79"/>
      <c r="F15" s="77"/>
      <c r="G15" s="78"/>
      <c r="H15" s="79"/>
    </row>
    <row r="16" spans="2:8" x14ac:dyDescent="0.25">
      <c r="B16" s="77"/>
      <c r="C16" s="78"/>
      <c r="D16" s="79"/>
      <c r="F16" s="77"/>
      <c r="G16" s="78"/>
      <c r="H16" s="79"/>
    </row>
    <row r="17" spans="2:8" x14ac:dyDescent="0.25">
      <c r="B17" s="77"/>
      <c r="C17" s="78"/>
      <c r="D17" s="79"/>
      <c r="F17" s="77"/>
      <c r="G17" s="78"/>
      <c r="H17" s="79"/>
    </row>
    <row r="18" spans="2:8" x14ac:dyDescent="0.25">
      <c r="B18" s="77"/>
      <c r="C18" s="78"/>
      <c r="D18" s="79"/>
      <c r="F18" s="77"/>
      <c r="G18" s="78"/>
      <c r="H18" s="79"/>
    </row>
    <row r="19" spans="2:8" x14ac:dyDescent="0.25">
      <c r="B19" s="77"/>
      <c r="C19" s="78"/>
      <c r="D19" s="79"/>
      <c r="F19" s="77"/>
      <c r="G19" s="78"/>
      <c r="H19" s="79"/>
    </row>
    <row r="20" spans="2:8" x14ac:dyDescent="0.25">
      <c r="B20" s="77"/>
      <c r="C20" s="78"/>
      <c r="D20" s="79"/>
      <c r="F20" s="77"/>
      <c r="G20" s="78"/>
      <c r="H20" s="79"/>
    </row>
    <row r="21" spans="2:8" ht="29.25" customHeight="1" x14ac:dyDescent="0.25">
      <c r="B21" s="80"/>
      <c r="C21" s="81"/>
      <c r="D21" s="82"/>
      <c r="F21" s="80"/>
      <c r="G21" s="81"/>
      <c r="H21" s="82"/>
    </row>
    <row r="24" spans="2:8" x14ac:dyDescent="0.25">
      <c r="B24" s="70" t="s">
        <v>8</v>
      </c>
      <c r="C24" s="71"/>
    </row>
    <row r="25" spans="2:8" x14ac:dyDescent="0.25">
      <c r="B25" s="72"/>
      <c r="C25" s="73"/>
    </row>
  </sheetData>
  <sheetProtection sheet="1" objects="1" scenarios="1"/>
  <mergeCells count="6">
    <mergeCell ref="B3:H5"/>
    <mergeCell ref="B24:C25"/>
    <mergeCell ref="B9:D21"/>
    <mergeCell ref="F9:H21"/>
    <mergeCell ref="B7:D7"/>
    <mergeCell ref="F7:H7"/>
  </mergeCells>
  <hyperlinks>
    <hyperlink ref="B24:C25" location="Startseite!A1" display="Home" xr:uid="{A670C3BA-7DCD-4AA8-8935-1BC9E3221889}"/>
    <hyperlink ref="B9:D21" location="'Situation J'!A1" display="Hawa Junior 100 B Acoustics" xr:uid="{E98B0485-4BE1-47CC-9F82-F903DECD87EC}"/>
    <hyperlink ref="F9:H21" location="'Art J P '!A1" display="Hawa Junior 100 B Pocket Acoustics" xr:uid="{DE678CB2-D47A-4880-8450-5073CFA29CF3}"/>
  </hyperlinks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B413-AE61-439C-805D-1DE578639D14}">
  <dimension ref="B3:X50"/>
  <sheetViews>
    <sheetView zoomScale="85" zoomScaleNormal="85" workbookViewId="0">
      <selection activeCell="N46" sqref="N46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148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D13+D25+6+U23</f>
        <v>1576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D11+(2*D25)+10</f>
        <v>820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1.2464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31.16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34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119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40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30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D27+5</f>
        <v>11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(2*U15)-D21</f>
        <v>1520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191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U27</f>
        <v>1520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>
        <f>IF(U30&lt;2001,Daten!L2,IF(U30&lt;2501,Daten!L3,IF(U30&lt;3001,Daten!L4,0)))</f>
        <v>27673</v>
      </c>
      <c r="W31" s="5" t="str">
        <f>IF(V31=27673,Daten!M2,IF(V31=30323,Daten!M3,IF(V31=27672,Daten!M4,"siehe Katlaog")))</f>
        <v>Laufschiene, eloxiert, gelocht 2000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37</v>
      </c>
      <c r="D34" s="34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U30</f>
        <v>1520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B36" s="1" t="s">
        <v>38</v>
      </c>
      <c r="D36" s="34" t="s">
        <v>40</v>
      </c>
      <c r="F36" s="1" t="s">
        <v>39</v>
      </c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U25+54-1</f>
        <v>64</v>
      </c>
      <c r="V36" s="5" t="s">
        <v>19</v>
      </c>
      <c r="W36" s="5" t="s">
        <v>165</v>
      </c>
    </row>
    <row r="37" spans="2:23" ht="6" customHeight="1" x14ac:dyDescent="0.25">
      <c r="F37" s="1" t="s">
        <v>55</v>
      </c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>
        <f>IF(U34&lt;2001,Daten!L8,IF(U34&lt;2501,Daten!L9,Daten!L10))</f>
        <v>27689</v>
      </c>
      <c r="W38" s="5" t="str">
        <f>IF(V38=27689,Daten!M8,IF(V38=30328,Daten!M9,Daten!M10))</f>
        <v>Clip-Blende 2000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U15-25</f>
        <v>795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U15-5</f>
        <v>815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IF(U15&lt;931,Daten!I8,IF(U15&lt;1051,Daten!I9,IF(U15&lt;1181,Daten!I10,IF(U15&lt;1301,Daten!I11,Daten!I12))))</f>
        <v>30436</v>
      </c>
      <c r="W48" s="5" t="str">
        <f>IF(V48=30436,Daten!J8,IF(V48=30438,Daten!J9,IF(V48=30440,Daten!J10,IF(V48=30442,Daten!J11,Daten!J12))))</f>
        <v xml:space="preserve">Hawa Acoustics XS rechts </v>
      </c>
    </row>
    <row r="50" spans="10:10" x14ac:dyDescent="0.25">
      <c r="J50" s="19"/>
    </row>
  </sheetData>
  <sheetProtection sheet="1" objects="1" scenarios="1"/>
  <mergeCells count="8">
    <mergeCell ref="B43:C44"/>
    <mergeCell ref="B3:M5"/>
    <mergeCell ref="B7:M7"/>
    <mergeCell ref="B9:F9"/>
    <mergeCell ref="B23:F23"/>
    <mergeCell ref="B30:F30"/>
    <mergeCell ref="B40:C41"/>
    <mergeCell ref="E40:F41"/>
  </mergeCells>
  <conditionalFormatting sqref="D15">
    <cfRule type="expression" dxfId="21" priority="2">
      <formula>$D$15&gt;2550</formula>
    </cfRule>
  </conditionalFormatting>
  <conditionalFormatting sqref="H19">
    <cfRule type="expression" dxfId="20" priority="1">
      <formula>$H$19&gt;100</formula>
    </cfRule>
  </conditionalFormatting>
  <dataValidations count="9">
    <dataValidation type="whole" allowBlank="1" showInputMessage="1" showErrorMessage="1" errorTitle="Falsches Mass" error="Muss zwischen 30 und 60 mm sein" sqref="D25" xr:uid="{F87AB22C-6820-4633-A5B0-FA2A02314094}">
      <formula1>30</formula1>
      <formula2>60</formula2>
    </dataValidation>
    <dataValidation type="whole" allowBlank="1" showInputMessage="1" showErrorMessage="1" errorTitle="Falsches Mass" error="Muss zwischen 750 und 1250 mm sein" sqref="D28" xr:uid="{B6D640D3-77D9-464C-900E-BAAC53BEA5B1}">
      <formula1>6</formula1>
      <formula2>25</formula2>
    </dataValidation>
    <dataValidation allowBlank="1" showInputMessage="1" showErrorMessage="1" errorTitle="Flasches Mass" error="Muss zwischen 44 und 50 mm sein" sqref="D19:D20" xr:uid="{846B1D77-7BA8-4C0F-9B26-F761F3A87BC0}"/>
    <dataValidation type="whole" allowBlank="1" showInputMessage="1" showErrorMessage="1" errorTitle="Flasches Mass" error="Muss zwischen 1500 und 2550 mm sein" sqref="D15" xr:uid="{0AD7E673-0449-405C-A65C-5F2F38E0E7BB}">
      <formula1>1500</formula1>
      <formula2>2550</formula2>
    </dataValidation>
    <dataValidation type="whole" allowBlank="1" showInputMessage="1" showErrorMessage="1" errorTitle="Falsches Mass" error="Muss zwischen 750 und 1250 mm sein" sqref="D11" xr:uid="{51623014-E361-49E9-BFDF-FAB345480ECE}">
      <formula1>750</formula1>
      <formula2>1250</formula2>
    </dataValidation>
    <dataValidation type="whole" operator="greaterThan" allowBlank="1" showInputMessage="1" showErrorMessage="1" errorTitle="Flasches Mass" error="Muss min. 120 mm sein" sqref="D21" xr:uid="{026688BA-1FB7-4B42-8C8D-A0FEEE272662}">
      <formula1>119</formula1>
    </dataValidation>
    <dataValidation type="whole" allowBlank="1" showInputMessage="1" showErrorMessage="1" errorTitle="Falsches Mass" error="Muss zwischen 6 und 25 mm sein" sqref="D27" xr:uid="{17CD9A28-C9D0-4A4B-BAE6-5459D0DFD9B9}">
      <formula1>6</formula1>
      <formula2>25</formula2>
    </dataValidation>
    <dataValidation type="whole" allowBlank="1" showInputMessage="1" showErrorMessage="1" errorTitle="Flasches Mass" error="Muss zwischen 44 und 50 mm sein_x000a_(bei kleiner 44 mm, verwenden sie Hawa Porta Acoustics)" sqref="D17" xr:uid="{830A0E9D-B72E-4178-9DB5-14F1F43A6126}">
      <formula1>44</formula1>
      <formula2>50</formula2>
    </dataValidation>
    <dataValidation allowBlank="1" showInputMessage="1" showErrorMessage="1" errorTitle="Flasches Mass" error="Muss zwischen 1500 und 2550 mm sein" sqref="D13" xr:uid="{666D0317-ADF9-49AA-B055-3F519402FF50}"/>
  </dataValidations>
  <hyperlinks>
    <hyperlink ref="B43:C44" location="Startseite!A1" display="Home" xr:uid="{797BE426-91BC-4111-A533-5C190F8A8D6E}"/>
    <hyperlink ref="B40:C41" location="'Art J B'!A1" display="Zurück" xr:uid="{7D6E33B9-8B86-4AC3-8684-932FA61F22EF}"/>
    <hyperlink ref="E40:F41" location="'10'!A1" display="Zum Plan " xr:uid="{F4D37E4D-E4D9-4293-BB31-F94BFC2B98F9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31B2B72F-19D4-43D3-98CF-8868BF54B814}">
          <x14:formula1>
            <xm:f>Daten!$B$2:$B$3</xm:f>
          </x14:formula1>
          <xm:sqref>D32 D34 D36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A9AC-1145-4A4F-AC3F-EDE492E9B53A}">
  <sheetPr>
    <pageSetUpPr fitToPage="1"/>
  </sheetPr>
  <dimension ref="C2:AD77"/>
  <sheetViews>
    <sheetView zoomScale="70" zoomScaleNormal="70" workbookViewId="0">
      <selection activeCell="H18" sqref="H18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B R T  '!U25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B R T  '!D15</f>
        <v>1576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B R T  '!U11</f>
        <v>1520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B R T  '!V48</f>
        <v>30436</v>
      </c>
      <c r="AA11" s="21">
        <v>1</v>
      </c>
      <c r="AB11" s="21" t="str">
        <f>'P J B R T  '!W48</f>
        <v xml:space="preserve">Hawa Acoustics XS rechts 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B R T  '!U44</f>
        <v>795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B R T  '!U46</f>
        <v>815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B R T  '!V31</f>
        <v>27673</v>
      </c>
      <c r="AA15" s="21">
        <v>1</v>
      </c>
      <c r="AB15" s="21" t="str">
        <f>'P J B R T  '!W31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9:30" x14ac:dyDescent="0.25">
      <c r="Z17" s="22" t="s">
        <v>91</v>
      </c>
      <c r="AA17" s="22"/>
      <c r="AB17" s="22"/>
      <c r="AC17" s="22"/>
      <c r="AD17" s="22"/>
    </row>
    <row r="18" spans="19:30" x14ac:dyDescent="0.25">
      <c r="Z18" s="21">
        <f>'P J B R T  '!V38</f>
        <v>27689</v>
      </c>
      <c r="AA18" s="21">
        <f>IF('P J B R T  '!D32="JA",1,0)</f>
        <v>1</v>
      </c>
      <c r="AB18" s="21" t="str">
        <f>'P J B R T  '!W38</f>
        <v>Clip-Blende 2000 mm</v>
      </c>
      <c r="AC18" s="21"/>
      <c r="AD18" s="21"/>
    </row>
    <row r="19" spans="19:30" x14ac:dyDescent="0.25">
      <c r="Z19" s="21">
        <f>IF('P J B R T  '!D34="JA",Daten!L5,0)</f>
        <v>30434</v>
      </c>
      <c r="AA19" s="21">
        <f>IF('P J B R T  '!D34="JA",1,0)</f>
        <v>1</v>
      </c>
      <c r="AB19" s="21" t="str">
        <f>IF('P J B R T  '!D34="Ja",Daten!M5,0)</f>
        <v>Blendenendstück Set links</v>
      </c>
      <c r="AC19" s="21"/>
      <c r="AD19" s="21"/>
    </row>
    <row r="20" spans="19:30" x14ac:dyDescent="0.25">
      <c r="Z20" s="21">
        <f>IF('P J B R T  '!D36="JA",Daten!L6,0)</f>
        <v>30435</v>
      </c>
      <c r="AA20" s="21">
        <f>IF('P J B R T  '!D36="JA",1,0)</f>
        <v>1</v>
      </c>
      <c r="AB20" s="21" t="str">
        <f>IF('P J B R T  '!D36="Ja",Daten!M6,0)</f>
        <v>Blendenendstück Set rechts</v>
      </c>
      <c r="AC20" s="21"/>
      <c r="AD20" s="21"/>
    </row>
    <row r="25" spans="19:30" x14ac:dyDescent="0.25">
      <c r="S25" s="16" t="s">
        <v>63</v>
      </c>
      <c r="T25" s="17">
        <f>T48-10</f>
        <v>20</v>
      </c>
      <c r="U25" s="18" t="s">
        <v>19</v>
      </c>
    </row>
    <row r="48" spans="3:21" x14ac:dyDescent="0.25">
      <c r="C48" s="16" t="s">
        <v>59</v>
      </c>
      <c r="D48" s="17">
        <f>'P J B R T  '!U30</f>
        <v>1520</v>
      </c>
      <c r="E48" s="18" t="s">
        <v>19</v>
      </c>
      <c r="K48" s="16" t="s">
        <v>56</v>
      </c>
      <c r="L48" s="17">
        <f>'P J B R T  '!D11</f>
        <v>750</v>
      </c>
      <c r="M48" s="18" t="s">
        <v>19</v>
      </c>
      <c r="S48" s="16" t="s">
        <v>57</v>
      </c>
      <c r="T48" s="17">
        <f>'P J B R T  '!D25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B R T  '!U15</f>
        <v>820</v>
      </c>
      <c r="M50" s="18" t="s">
        <v>19</v>
      </c>
      <c r="S50" s="16" t="s">
        <v>58</v>
      </c>
      <c r="T50" s="17">
        <f>'P J B R T  '!D27</f>
        <v>6</v>
      </c>
      <c r="U50" s="18" t="s">
        <v>19</v>
      </c>
    </row>
    <row r="62" spans="3:21" x14ac:dyDescent="0.25">
      <c r="C62" s="16" t="s">
        <v>61</v>
      </c>
      <c r="D62" s="17">
        <f>'P J B R T  '!U34</f>
        <v>1520</v>
      </c>
      <c r="E62" s="17" t="s">
        <v>19</v>
      </c>
      <c r="F62" s="17" t="s">
        <v>60</v>
      </c>
      <c r="G62" s="18"/>
      <c r="K62" s="16" t="s">
        <v>114</v>
      </c>
      <c r="L62" s="17">
        <f>'P J B R T  '!D21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61</v>
      </c>
      <c r="D64" s="17">
        <f>D62+6</f>
        <v>1526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1532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4FB95DCA-5703-461B-BCA7-B3CCBF672BED}"/>
    <hyperlink ref="C73:D74" location="'P J B R T  '!A1" display="Zurück" xr:uid="{434B0D36-B8CC-4831-A8BF-D8E4F4768321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57E4-4389-491A-9864-F92AEB801D26}">
  <sheetPr>
    <tabColor theme="3" tint="0.79998168889431442"/>
  </sheetPr>
  <dimension ref="B3:L24"/>
  <sheetViews>
    <sheetView zoomScale="85" zoomScaleNormal="85" workbookViewId="0"/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61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2:12" x14ac:dyDescent="0.25">
      <c r="B4" s="64"/>
      <c r="C4" s="65"/>
      <c r="D4" s="65"/>
      <c r="E4" s="65"/>
      <c r="F4" s="65"/>
      <c r="G4" s="65"/>
      <c r="H4" s="65"/>
      <c r="I4" s="65"/>
      <c r="J4" s="65"/>
      <c r="K4" s="65"/>
      <c r="L4" s="66"/>
    </row>
    <row r="5" spans="2:12" x14ac:dyDescent="0.25">
      <c r="B5" s="67"/>
      <c r="C5" s="68"/>
      <c r="D5" s="68"/>
      <c r="E5" s="68"/>
      <c r="F5" s="68"/>
      <c r="G5" s="68"/>
      <c r="H5" s="68"/>
      <c r="I5" s="68"/>
      <c r="J5" s="68"/>
      <c r="K5" s="68"/>
      <c r="L5" s="69"/>
    </row>
    <row r="7" spans="2:12" ht="18.75" x14ac:dyDescent="0.3">
      <c r="B7" s="114" t="s">
        <v>130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99" t="s">
        <v>12</v>
      </c>
      <c r="C9" s="100"/>
      <c r="E9" s="99" t="s">
        <v>13</v>
      </c>
      <c r="F9" s="100"/>
      <c r="H9" s="99" t="s">
        <v>14</v>
      </c>
      <c r="I9" s="100"/>
      <c r="K9" s="99" t="s">
        <v>15</v>
      </c>
      <c r="L9" s="100"/>
    </row>
    <row r="10" spans="2:12" x14ac:dyDescent="0.25">
      <c r="B10" s="101"/>
      <c r="C10" s="102"/>
      <c r="E10" s="101"/>
      <c r="F10" s="102"/>
      <c r="H10" s="101"/>
      <c r="I10" s="102"/>
      <c r="K10" s="101"/>
      <c r="L10" s="102"/>
    </row>
    <row r="11" spans="2:12" x14ac:dyDescent="0.25">
      <c r="B11" s="101"/>
      <c r="C11" s="102"/>
      <c r="E11" s="101"/>
      <c r="F11" s="102"/>
      <c r="H11" s="101"/>
      <c r="I11" s="102"/>
      <c r="K11" s="101"/>
      <c r="L11" s="102"/>
    </row>
    <row r="12" spans="2:12" x14ac:dyDescent="0.25">
      <c r="B12" s="101"/>
      <c r="C12" s="102"/>
      <c r="E12" s="101"/>
      <c r="F12" s="102"/>
      <c r="H12" s="101"/>
      <c r="I12" s="102"/>
      <c r="K12" s="101"/>
      <c r="L12" s="102"/>
    </row>
    <row r="13" spans="2:12" x14ac:dyDescent="0.25">
      <c r="B13" s="101"/>
      <c r="C13" s="102"/>
      <c r="E13" s="101"/>
      <c r="F13" s="102"/>
      <c r="H13" s="101"/>
      <c r="I13" s="102"/>
      <c r="K13" s="101"/>
      <c r="L13" s="102"/>
    </row>
    <row r="14" spans="2:12" x14ac:dyDescent="0.25">
      <c r="B14" s="101"/>
      <c r="C14" s="102"/>
      <c r="E14" s="101"/>
      <c r="F14" s="102"/>
      <c r="H14" s="101"/>
      <c r="I14" s="102"/>
      <c r="K14" s="101"/>
      <c r="L14" s="102"/>
    </row>
    <row r="15" spans="2:12" x14ac:dyDescent="0.25">
      <c r="B15" s="101"/>
      <c r="C15" s="102"/>
      <c r="E15" s="101"/>
      <c r="F15" s="102"/>
      <c r="H15" s="101"/>
      <c r="I15" s="102"/>
      <c r="K15" s="101"/>
      <c r="L15" s="102"/>
    </row>
    <row r="16" spans="2:12" x14ac:dyDescent="0.25">
      <c r="B16" s="101"/>
      <c r="C16" s="102"/>
      <c r="E16" s="101"/>
      <c r="F16" s="102"/>
      <c r="H16" s="101"/>
      <c r="I16" s="102"/>
      <c r="K16" s="101"/>
      <c r="L16" s="102"/>
    </row>
    <row r="17" spans="2:12" x14ac:dyDescent="0.25">
      <c r="B17" s="101"/>
      <c r="C17" s="102"/>
      <c r="E17" s="101"/>
      <c r="F17" s="102"/>
      <c r="H17" s="101"/>
      <c r="I17" s="102"/>
      <c r="K17" s="101"/>
      <c r="L17" s="102"/>
    </row>
    <row r="18" spans="2:12" x14ac:dyDescent="0.25">
      <c r="B18" s="103"/>
      <c r="C18" s="104"/>
      <c r="E18" s="103"/>
      <c r="F18" s="104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B20:C21"/>
    <mergeCell ref="B23:C24"/>
    <mergeCell ref="B3:L5"/>
    <mergeCell ref="B7:L7"/>
    <mergeCell ref="B9:C18"/>
    <mergeCell ref="E9:F18"/>
    <mergeCell ref="H9:I18"/>
    <mergeCell ref="K9:L18"/>
  </mergeCells>
  <hyperlinks>
    <hyperlink ref="B23:C24" location="Startseite!A1" display="Home" xr:uid="{3E8E9E27-0B91-40EC-B2F3-81971607EC20}"/>
    <hyperlink ref="B20:C21" location="'Situation J'!A1" display="Zurück" xr:uid="{00242264-AF58-4D73-AA15-9B2F7B81F3FA}"/>
    <hyperlink ref="B9:C18" location="'P J U L G  '!A1" display="'P J U L G  '!A1" xr:uid="{C4E56C80-8991-4E26-92A9-A923AC72297E}"/>
    <hyperlink ref="E9:F18" location="'P J U L T '!A1" display="'P J U L T '!A1" xr:uid="{FBB310EE-935F-450A-8C86-D19B7881E2B2}"/>
    <hyperlink ref="H9:I18" location="'P J U R G  '!A1" display="'P J U R G  '!A1" xr:uid="{F7F3C7D1-4735-489F-86A4-C7112FF311B3}"/>
    <hyperlink ref="K9:L18" location="'P J U R T '!A1" display="'P J U R T '!A1" xr:uid="{F6429D32-E7F7-41CD-A219-E138AA8F01E0}"/>
  </hyperlinks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2148D-A512-42B7-A4F1-62910C450E6F}">
  <dimension ref="B3:X50"/>
  <sheetViews>
    <sheetView zoomScale="85" zoomScaleNormal="85" workbookViewId="0"/>
  </sheetViews>
  <sheetFormatPr baseColWidth="10" defaultRowHeight="15" outlineLevelCol="1" x14ac:dyDescent="0.25"/>
  <cols>
    <col min="1" max="1" width="11.42578125" style="1"/>
    <col min="2" max="2" width="15" style="1" customWidth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1550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D13+D24+D28+6+U22</f>
        <v>1606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D11+D24+(2*D28)+120</f>
        <v>940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1.4570000000000001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36.425000000000004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ht="30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6" t="s">
        <v>47</v>
      </c>
      <c r="V21" s="5"/>
      <c r="W21" s="5"/>
    </row>
    <row r="22" spans="2:23" x14ac:dyDescent="0.25">
      <c r="B22" s="126" t="s">
        <v>124</v>
      </c>
      <c r="C22" s="127"/>
      <c r="D22" s="127"/>
      <c r="E22" s="127"/>
      <c r="F22" s="128"/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v>40</v>
      </c>
      <c r="V22" s="5" t="s">
        <v>19</v>
      </c>
      <c r="W22" s="5" t="s">
        <v>2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30</v>
      </c>
      <c r="C24" s="1" t="s">
        <v>31</v>
      </c>
      <c r="D24" s="34">
        <v>50</v>
      </c>
      <c r="E24" s="1" t="s">
        <v>19</v>
      </c>
      <c r="F24" s="1" t="s">
        <v>34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D26+5</f>
        <v>22</v>
      </c>
      <c r="V24" s="5" t="s">
        <v>19</v>
      </c>
      <c r="W24" s="5" t="s">
        <v>67</v>
      </c>
    </row>
    <row r="25" spans="2:23" ht="6" customHeight="1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B26" s="1" t="s">
        <v>120</v>
      </c>
      <c r="C26" s="1" t="s">
        <v>33</v>
      </c>
      <c r="D26" s="34">
        <v>17</v>
      </c>
      <c r="E26" s="1" t="s">
        <v>19</v>
      </c>
      <c r="F26" s="1" t="s">
        <v>32</v>
      </c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>
        <f>(2*U15)-120</f>
        <v>1760</v>
      </c>
      <c r="V26" s="5" t="s">
        <v>19</v>
      </c>
      <c r="W26" s="5" t="s">
        <v>48</v>
      </c>
    </row>
    <row r="27" spans="2:23" ht="6" customHeight="1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/>
      <c r="V27" s="5"/>
      <c r="W27" s="5"/>
    </row>
    <row r="28" spans="2:23" x14ac:dyDescent="0.25">
      <c r="B28" s="1" t="s">
        <v>125</v>
      </c>
      <c r="C28" s="1" t="s">
        <v>126</v>
      </c>
      <c r="D28" s="34">
        <v>10</v>
      </c>
      <c r="E28" s="1" t="s">
        <v>19</v>
      </c>
      <c r="F28" s="1" t="s">
        <v>127</v>
      </c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191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U26</f>
        <v>1760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>
        <f>IF(U30&lt;2001,Daten!L2,IF(U30&lt;2501,Daten!L3,IF(U30&lt;3001,Daten!L4,0)))</f>
        <v>27673</v>
      </c>
      <c r="W31" s="5" t="str">
        <f>IF(V31=27673,Daten!M2,IF(V31=30323,Daten!M3,IF(V31=27672,Daten!M4,"siehe Katlaog")))</f>
        <v>Laufschiene, eloxiert, gelocht 2000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37</v>
      </c>
      <c r="D34" s="34" t="s">
        <v>40</v>
      </c>
      <c r="F34" s="1" t="s">
        <v>39</v>
      </c>
      <c r="J34" s="10"/>
      <c r="K34" s="11"/>
      <c r="L34" s="11" t="s">
        <v>18</v>
      </c>
      <c r="M34" s="30" t="s">
        <v>198</v>
      </c>
      <c r="N34" s="11"/>
      <c r="O34" s="11"/>
      <c r="P34" s="11"/>
      <c r="Q34" s="11"/>
      <c r="R34" s="12"/>
      <c r="S34" s="11"/>
      <c r="T34" s="5"/>
      <c r="U34" s="5">
        <f>U30</f>
        <v>1760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B36" s="1" t="s">
        <v>38</v>
      </c>
      <c r="D36" s="34" t="s">
        <v>40</v>
      </c>
      <c r="F36" s="1" t="s">
        <v>39</v>
      </c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U24+54-1</f>
        <v>75</v>
      </c>
      <c r="V36" s="5" t="s">
        <v>19</v>
      </c>
      <c r="W36" s="5" t="s">
        <v>165</v>
      </c>
    </row>
    <row r="37" spans="2:23" ht="6" customHeight="1" x14ac:dyDescent="0.25">
      <c r="F37" s="1" t="s">
        <v>55</v>
      </c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>
        <f>IF(U34&lt;2001,Daten!L8,IF(U34&lt;2501,Daten!L9,Daten!L10))</f>
        <v>27689</v>
      </c>
      <c r="W38" s="5" t="str">
        <f>IF(V38=27689,Daten!M8,IF(V38=30328,Daten!M9,Daten!M10))</f>
        <v>Clip-Blende 2000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U15-25</f>
        <v>915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U15-5</f>
        <v>935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IF(U15&lt;931,Daten!F8,IF(U15&lt;1051,Daten!F9,IF(U15&lt;1181,Daten!F10,IF(U15&lt;1301,Daten!F11,Daten!F12))))</f>
        <v>30439</v>
      </c>
      <c r="W48" s="5" t="str">
        <f>IF(V48=30437,Daten!G8,IF(V48=30439,Daten!G9,IF(V48=30441,Daten!G10,IF(V48=30443,Daten!G11,Daten!G12))))</f>
        <v>Hawa Acoustics S links</v>
      </c>
    </row>
    <row r="50" spans="10:10" x14ac:dyDescent="0.25">
      <c r="J50" s="19"/>
    </row>
  </sheetData>
  <sheetProtection sheet="1" objects="1" scenarios="1"/>
  <mergeCells count="8">
    <mergeCell ref="B43:C44"/>
    <mergeCell ref="B3:M5"/>
    <mergeCell ref="B7:M7"/>
    <mergeCell ref="B9:F9"/>
    <mergeCell ref="B22:F22"/>
    <mergeCell ref="B30:F30"/>
    <mergeCell ref="B40:C41"/>
    <mergeCell ref="E40:F41"/>
  </mergeCells>
  <conditionalFormatting sqref="D15">
    <cfRule type="expression" dxfId="19" priority="2">
      <formula>$D$15&gt;2550</formula>
    </cfRule>
  </conditionalFormatting>
  <conditionalFormatting sqref="H19">
    <cfRule type="expression" dxfId="18" priority="1">
      <formula>$H$19&gt;100</formula>
    </cfRule>
  </conditionalFormatting>
  <dataValidations count="8">
    <dataValidation type="whole" allowBlank="1" showInputMessage="1" showErrorMessage="1" errorTitle="Falsches Mass" error="Muss zwischen 750 und 1250 mm sein" sqref="D11" xr:uid="{202F9ED2-4CD3-4D1F-9514-2A0D783E64E2}">
      <formula1>750</formula1>
      <formula2>1250</formula2>
    </dataValidation>
    <dataValidation type="whole" allowBlank="1" showInputMessage="1" showErrorMessage="1" errorTitle="Flasches Mass" error="Muss zwischen 1500 und 2550 mm sein" sqref="D15 D13" xr:uid="{10CBD4EB-29A2-40C8-A517-6A5472E1B813}">
      <formula1>1500</formula1>
      <formula2>2550</formula2>
    </dataValidation>
    <dataValidation allowBlank="1" showInputMessage="1" showErrorMessage="1" errorTitle="Flasches Mass" error="Muss zwischen 44 und 50 mm sein" sqref="D19" xr:uid="{84061C3B-2F93-408B-9073-5DDB61B69B29}"/>
    <dataValidation type="whole" allowBlank="1" showInputMessage="1" showErrorMessage="1" errorTitle="Falsches Mass" error="Muss zwischen 750 und 1250 mm sein" sqref="D27" xr:uid="{9B9984FA-3926-4798-BA80-342B1F542C1B}">
      <formula1>6</formula1>
      <formula2>25</formula2>
    </dataValidation>
    <dataValidation type="whole" allowBlank="1" showInputMessage="1" showErrorMessage="1" errorTitle="Falsches Mass" error="Muss zwischen 30 und 60 mm sein" sqref="D24" xr:uid="{2008FA1D-4815-44BB-831F-4F60FD9D3989}">
      <formula1>30</formula1>
      <formula2>60</formula2>
    </dataValidation>
    <dataValidation type="whole" allowBlank="1" showInputMessage="1" showErrorMessage="1" errorTitle="Falsches Mass" error="Muss zwischen 0 und 20 mm sein" sqref="D28" xr:uid="{6B86103F-1893-4B0E-8855-643DB5F55459}">
      <formula1>0</formula1>
      <formula2>20</formula2>
    </dataValidation>
    <dataValidation type="whole" allowBlank="1" showInputMessage="1" showErrorMessage="1" errorTitle="Falsches Mass" error="Muss zwischen 6 und 25 mm sein" sqref="D26" xr:uid="{B2B30A3E-67CE-4507-927F-D3FAEFCD59AA}">
      <formula1>6</formula1>
      <formula2>25</formula2>
    </dataValidation>
    <dataValidation type="whole" allowBlank="1" showInputMessage="1" showErrorMessage="1" errorTitle="Flasches Mass" error="Muss zwischen 44 und 50 mm sein_x000a_(bei kleiner 44 mm, verwenden sie Hawa Porta Acoustics)" sqref="D17" xr:uid="{C062175D-01C7-40D6-A1D8-0487623B448D}">
      <formula1>44</formula1>
      <formula2>50</formula2>
    </dataValidation>
  </dataValidations>
  <hyperlinks>
    <hyperlink ref="B43:C44" location="Startseite!A1" display="Home" xr:uid="{ABB4CC62-F55B-4133-B002-5E3BD2AD29B8}"/>
    <hyperlink ref="B40:C41" location="'Art J U'!A1" display="Zurück" xr:uid="{97B495EF-0D23-4AE0-B312-E81C61EF189B}"/>
    <hyperlink ref="E40:F41" location="'5'!A1" display="Zum Plan " xr:uid="{DA321DDD-F574-4E4A-B5A6-56BC371A8DFF}"/>
  </hyperlinks>
  <pageMargins left="0.7" right="0.7" top="0.78740157499999996" bottom="0.78740157499999996" header="0.3" footer="0.3"/>
  <pageSetup paperSize="9" orientation="portrait" horizontalDpi="300" verticalDpi="3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817E9221-C354-43B5-82E6-520C9FACFFF9}">
          <x14:formula1>
            <xm:f>Daten!$B$2:$B$3</xm:f>
          </x14:formula1>
          <xm:sqref>D32 D34 D36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F05A-8F9B-4C88-A410-8A110634AAFC}">
  <sheetPr>
    <pageSetUpPr fitToPage="1"/>
  </sheetPr>
  <dimension ref="C2:AD77"/>
  <sheetViews>
    <sheetView zoomScale="85" zoomScaleNormal="85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U L G  '!U24</f>
        <v>22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U L G  '!D15</f>
        <v>1606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U L G  '!U11</f>
        <v>1550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U L G  '!$V$48</f>
        <v>30439</v>
      </c>
      <c r="AA11" s="21">
        <v>1</v>
      </c>
      <c r="AB11" s="21" t="str">
        <f>'P J U L G  '!$W$48</f>
        <v>Hawa Acoustics S links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U L G  '!$U$44</f>
        <v>915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U L G  '!$U$46</f>
        <v>935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U L G  '!$V$31</f>
        <v>27673</v>
      </c>
      <c r="AA15" s="21">
        <v>1</v>
      </c>
      <c r="AB15" s="21" t="str">
        <f>'P J U L G  '!$W$31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U L G  '!$V$38</f>
        <v>27689</v>
      </c>
      <c r="AA18" s="21">
        <f>IF('P J U L G  '!$D$32="JA",1,0)</f>
        <v>1</v>
      </c>
      <c r="AB18" s="21" t="str">
        <f>'P J U L G  '!$W$38</f>
        <v>Clip-Blende 2000 mm</v>
      </c>
      <c r="AC18" s="21"/>
      <c r="AD18" s="21"/>
    </row>
    <row r="19" spans="11:30" x14ac:dyDescent="0.25">
      <c r="Z19" s="21">
        <f>IF('P J U L G  '!D34="JA",Daten!L5,0)</f>
        <v>30434</v>
      </c>
      <c r="AA19" s="21">
        <f>IF('P J U L G  '!$D$34="JA",1,0)</f>
        <v>1</v>
      </c>
      <c r="AB19" s="21" t="str">
        <f>IF('P J U L G  '!$D$34="Ja",Daten!M5,0)</f>
        <v>Blendenendstück Set links</v>
      </c>
      <c r="AC19" s="21"/>
      <c r="AD19" s="21"/>
    </row>
    <row r="20" spans="11:30" x14ac:dyDescent="0.25">
      <c r="Z20" s="21">
        <f>IF('P J U L G  '!$D$36="JA",Daten!L6,0)</f>
        <v>30435</v>
      </c>
      <c r="AA20" s="21">
        <f>IF('P J U L G  '!$D$36="JA",1,0)</f>
        <v>1</v>
      </c>
      <c r="AB20" s="21" t="str">
        <f>IF('P J U L G  '!$D$36="Ja",Daten!M6,0)</f>
        <v>Blendenendstück Set rechts</v>
      </c>
      <c r="AC20" s="21"/>
      <c r="AD20" s="21"/>
    </row>
    <row r="25" spans="11:30" x14ac:dyDescent="0.25">
      <c r="K25" s="16" t="s">
        <v>63</v>
      </c>
      <c r="L25" s="17">
        <f>T48-10</f>
        <v>40</v>
      </c>
      <c r="M25" s="17" t="s">
        <v>19</v>
      </c>
      <c r="N25" s="18"/>
      <c r="T25" s="16" t="s">
        <v>64</v>
      </c>
      <c r="U25" s="17">
        <f>126-T48</f>
        <v>76</v>
      </c>
      <c r="V25" s="18" t="s">
        <v>19</v>
      </c>
    </row>
    <row r="48" spans="3:21" x14ac:dyDescent="0.25">
      <c r="C48" s="16" t="s">
        <v>59</v>
      </c>
      <c r="D48" s="17">
        <f>'P J U L G  '!U30</f>
        <v>1760</v>
      </c>
      <c r="E48" s="18" t="s">
        <v>19</v>
      </c>
      <c r="K48" s="16" t="s">
        <v>56</v>
      </c>
      <c r="L48" s="17">
        <f>'P J U L G  '!D11</f>
        <v>750</v>
      </c>
      <c r="M48" s="18" t="s">
        <v>19</v>
      </c>
      <c r="S48" s="16" t="s">
        <v>57</v>
      </c>
      <c r="T48" s="17">
        <f>'P J U L G  '!D24</f>
        <v>50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U L G  '!U15</f>
        <v>940</v>
      </c>
      <c r="M50" s="18" t="s">
        <v>19</v>
      </c>
      <c r="S50" s="16" t="s">
        <v>58</v>
      </c>
      <c r="T50" s="17">
        <f>'P J U L G  '!D26</f>
        <v>17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J U L G  '!$D$28</f>
        <v>10</v>
      </c>
      <c r="U52" s="18" t="s">
        <v>19</v>
      </c>
    </row>
    <row r="62" spans="3:21" x14ac:dyDescent="0.25">
      <c r="C62" s="16" t="s">
        <v>62</v>
      </c>
      <c r="D62" s="17">
        <f>'P J U L G  '!U34</f>
        <v>1760</v>
      </c>
      <c r="E62" s="17" t="s">
        <v>19</v>
      </c>
      <c r="F62" s="17" t="s">
        <v>60</v>
      </c>
      <c r="G62" s="18"/>
    </row>
    <row r="63" spans="3:21" ht="6" customHeight="1" x14ac:dyDescent="0.25"/>
    <row r="64" spans="3:21" x14ac:dyDescent="0.25">
      <c r="C64" s="16" t="s">
        <v>61</v>
      </c>
      <c r="D64" s="17">
        <f>D62+6</f>
        <v>1766</v>
      </c>
      <c r="E64" s="17" t="s">
        <v>19</v>
      </c>
      <c r="F64" s="17" t="s">
        <v>50</v>
      </c>
      <c r="G64" s="18"/>
    </row>
    <row r="65" spans="3:19" ht="6" customHeight="1" x14ac:dyDescent="0.25"/>
    <row r="66" spans="3:19" x14ac:dyDescent="0.25">
      <c r="C66" s="16" t="s">
        <v>62</v>
      </c>
      <c r="D66" s="17">
        <f>D62+12</f>
        <v>1772</v>
      </c>
      <c r="E66" s="17" t="s">
        <v>19</v>
      </c>
      <c r="F66" s="17" t="s">
        <v>51</v>
      </c>
      <c r="G66" s="18"/>
    </row>
    <row r="67" spans="3:19" ht="6" customHeight="1" x14ac:dyDescent="0.25"/>
    <row r="68" spans="3:19" x14ac:dyDescent="0.25">
      <c r="C68" s="16" t="s">
        <v>69</v>
      </c>
      <c r="D68" s="17">
        <f>H6+53</f>
        <v>75</v>
      </c>
      <c r="E68" s="17" t="s">
        <v>19</v>
      </c>
      <c r="F68" s="17"/>
      <c r="G68" s="18"/>
    </row>
    <row r="70" spans="3:19" x14ac:dyDescent="0.25">
      <c r="S70" s="3" t="s">
        <v>198</v>
      </c>
    </row>
    <row r="73" spans="3:19" x14ac:dyDescent="0.25">
      <c r="C73" s="70" t="s">
        <v>16</v>
      </c>
      <c r="D73" s="71"/>
    </row>
    <row r="74" spans="3:19" x14ac:dyDescent="0.25">
      <c r="C74" s="72"/>
      <c r="D74" s="73"/>
    </row>
    <row r="76" spans="3:19" x14ac:dyDescent="0.25">
      <c r="C76" s="70" t="s">
        <v>8</v>
      </c>
      <c r="D76" s="71"/>
    </row>
    <row r="77" spans="3:19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38A0CC6B-D12B-4A25-A601-EEAC564392FD}"/>
    <hyperlink ref="C73:D74" location="'P J U L G  '!A1" display="Zurück" xr:uid="{2EB9B954-A942-4D15-8229-9087684E726D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AA55-D22B-4A30-A4BE-0F09FA8AD47F}">
  <dimension ref="B3:X51"/>
  <sheetViews>
    <sheetView zoomScale="85" zoomScaleNormal="85" workbookViewId="0"/>
  </sheetViews>
  <sheetFormatPr baseColWidth="10" defaultRowHeight="15" outlineLevelCol="1" x14ac:dyDescent="0.25"/>
  <cols>
    <col min="1" max="1" width="11.42578125" style="1"/>
    <col min="2" max="2" width="15.85546875" style="1" customWidth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1550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D13+D25+D29+6+U23</f>
        <v>1606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D11+(2*D25)+(2*D29)+10</f>
        <v>880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1.3640000000000001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34.1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34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124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40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50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D27+5</f>
        <v>22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120</v>
      </c>
      <c r="C27" s="1" t="s">
        <v>33</v>
      </c>
      <c r="D27" s="34">
        <v>17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(2*U15)-D21</f>
        <v>1640</v>
      </c>
      <c r="V27" s="5" t="s">
        <v>19</v>
      </c>
      <c r="W27" s="5" t="s">
        <v>48</v>
      </c>
    </row>
    <row r="28" spans="2:23" ht="6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125</v>
      </c>
      <c r="C29" s="1" t="s">
        <v>126</v>
      </c>
      <c r="D29" s="34">
        <v>10</v>
      </c>
      <c r="E29" s="1" t="s">
        <v>19</v>
      </c>
      <c r="F29" s="1" t="s">
        <v>127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/>
      <c r="W29" s="5"/>
    </row>
    <row r="30" spans="2:23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 t="s">
        <v>49</v>
      </c>
      <c r="V30" s="5"/>
      <c r="W30" s="5"/>
    </row>
    <row r="31" spans="2:23" x14ac:dyDescent="0.25">
      <c r="B31" s="126" t="s">
        <v>191</v>
      </c>
      <c r="C31" s="127"/>
      <c r="D31" s="127"/>
      <c r="E31" s="127"/>
      <c r="F31" s="128"/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>
        <f>U27</f>
        <v>1640</v>
      </c>
      <c r="V31" s="5" t="s">
        <v>19</v>
      </c>
      <c r="W31" s="5" t="s">
        <v>48</v>
      </c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>
        <f>IF(U31&lt;2001,Daten!L2,IF(U31&lt;2501,Daten!L3,IF(U31&lt;3001,Daten!L4,0)))</f>
        <v>27673</v>
      </c>
      <c r="W32" s="5" t="str">
        <f>IF(V32=27673,Daten!M2,IF(V32=30323,Daten!M3,IF(V32=27672,Daten!M4,"siehe Katlaog")))</f>
        <v>Laufschiene, eloxiert, gelocht 2000 mm</v>
      </c>
    </row>
    <row r="33" spans="2:23" x14ac:dyDescent="0.25">
      <c r="B33" s="1" t="s">
        <v>36</v>
      </c>
      <c r="D33" s="34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6" t="s">
        <v>101</v>
      </c>
      <c r="V33" s="5"/>
      <c r="W33" s="5"/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B35" s="1" t="s">
        <v>37</v>
      </c>
      <c r="D35" s="34" t="s">
        <v>40</v>
      </c>
      <c r="F35" s="1" t="s">
        <v>39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>
        <f>U31</f>
        <v>1640</v>
      </c>
      <c r="V35" s="5" t="s">
        <v>19</v>
      </c>
      <c r="W35" s="5" t="s">
        <v>100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B37" s="1" t="s">
        <v>38</v>
      </c>
      <c r="D37" s="34" t="s">
        <v>40</v>
      </c>
      <c r="F37" s="1" t="s">
        <v>39</v>
      </c>
      <c r="J37" s="10"/>
      <c r="K37" s="11"/>
      <c r="L37" s="11" t="s">
        <v>18</v>
      </c>
      <c r="M37" s="30" t="s">
        <v>198</v>
      </c>
      <c r="N37" s="11"/>
      <c r="O37" s="11"/>
      <c r="P37" s="11"/>
      <c r="Q37" s="11"/>
      <c r="R37" s="12"/>
      <c r="S37" s="11"/>
      <c r="T37" s="5"/>
      <c r="U37" s="5">
        <f>U25+54-1</f>
        <v>75</v>
      </c>
      <c r="V37" s="5" t="s">
        <v>19</v>
      </c>
      <c r="W37" s="5" t="s">
        <v>165</v>
      </c>
    </row>
    <row r="38" spans="2:23" ht="6" customHeight="1" x14ac:dyDescent="0.25">
      <c r="F38" s="1" t="s">
        <v>55</v>
      </c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>
        <f>IF(U35&lt;2001,Daten!L8,IF(U35&lt;2501,Daten!L9,Daten!L10))</f>
        <v>27689</v>
      </c>
      <c r="W39" s="5" t="str">
        <f>IF(V39=27689,Daten!M8,IF(V39=30328,Daten!M9,Daten!M10))</f>
        <v>Clip-Blende 2000 mm</v>
      </c>
    </row>
    <row r="40" spans="2:23" ht="6" customHeight="1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0" t="s">
        <v>16</v>
      </c>
      <c r="C41" s="71"/>
      <c r="E41" s="70" t="s">
        <v>111</v>
      </c>
      <c r="F41" s="71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2"/>
      <c r="C42" s="73"/>
      <c r="E42" s="72"/>
      <c r="F42" s="73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6" t="s">
        <v>53</v>
      </c>
      <c r="V43" s="5"/>
      <c r="W43" s="5"/>
    </row>
    <row r="44" spans="2:23" ht="6" customHeight="1" x14ac:dyDescent="0.25">
      <c r="B44" s="70" t="s">
        <v>8</v>
      </c>
      <c r="C44" s="71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B45" s="72"/>
      <c r="C45" s="73"/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>
        <f>U15-25</f>
        <v>855</v>
      </c>
      <c r="V45" s="5" t="s">
        <v>19</v>
      </c>
      <c r="W45" s="5" t="s">
        <v>110</v>
      </c>
    </row>
    <row r="46" spans="2:23" ht="6" customHeight="1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>
        <f>U15-5</f>
        <v>875</v>
      </c>
      <c r="V47" s="5" t="s">
        <v>19</v>
      </c>
      <c r="W47" s="5" t="s">
        <v>54</v>
      </c>
    </row>
    <row r="48" spans="2:23" ht="6" customHeight="1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/>
      <c r="V48" s="5"/>
      <c r="W48" s="5"/>
    </row>
    <row r="49" spans="10:23" x14ac:dyDescent="0.25">
      <c r="J49" s="13"/>
      <c r="K49" s="14"/>
      <c r="L49" s="14"/>
      <c r="M49" s="14"/>
      <c r="N49" s="14"/>
      <c r="O49" s="14"/>
      <c r="P49" s="14"/>
      <c r="Q49" s="14"/>
      <c r="R49" s="15"/>
      <c r="S49" s="11"/>
      <c r="T49" s="5"/>
      <c r="U49" s="5"/>
      <c r="V49" s="5">
        <f>IF(U15&lt;931,Daten!F8,IF(U15&lt;1051,Daten!F9,IF(U15&lt;1181,Daten!F10,IF(U15&lt;1301,Daten!F11,Daten!F12))))</f>
        <v>30437</v>
      </c>
      <c r="W49" s="5" t="str">
        <f>IF(V49=30437,Daten!G8,IF(V49=30439,Daten!G9,IF(V49=30441,Daten!G10,IF(V49=30443,Daten!G11,Daten!G12))))</f>
        <v>Hawa Acoustics XS links</v>
      </c>
    </row>
    <row r="51" spans="10:23" x14ac:dyDescent="0.25">
      <c r="J51" s="19"/>
    </row>
  </sheetData>
  <sheetProtection sheet="1" objects="1" scenarios="1"/>
  <mergeCells count="8">
    <mergeCell ref="B44:C45"/>
    <mergeCell ref="B3:M5"/>
    <mergeCell ref="B7:M7"/>
    <mergeCell ref="B9:F9"/>
    <mergeCell ref="B23:F23"/>
    <mergeCell ref="B31:F31"/>
    <mergeCell ref="B41:C42"/>
    <mergeCell ref="E41:F42"/>
  </mergeCells>
  <conditionalFormatting sqref="D15">
    <cfRule type="expression" dxfId="17" priority="2">
      <formula>$D$15&gt;2550</formula>
    </cfRule>
  </conditionalFormatting>
  <conditionalFormatting sqref="H19">
    <cfRule type="expression" dxfId="16" priority="1">
      <formula>$H$19&gt;100</formula>
    </cfRule>
  </conditionalFormatting>
  <dataValidations count="8">
    <dataValidation type="whole" allowBlank="1" showInputMessage="1" showErrorMessage="1" errorTitle="Falsches Mass" error="Muss zwischen 6 und 25 mm sein" sqref="D27:D28" xr:uid="{2977DB0D-C760-4BD2-9870-23183F831BE7}">
      <formula1>6</formula1>
      <formula2>25</formula2>
    </dataValidation>
    <dataValidation type="whole" allowBlank="1" showInputMessage="1" showErrorMessage="1" errorTitle="Falsches Mass" error="Muss zwischen 30 und 60 mm sein" sqref="D25" xr:uid="{4D52A44F-643D-4EA0-98FE-A61A52287C1B}">
      <formula1>30</formula1>
      <formula2>60</formula2>
    </dataValidation>
    <dataValidation allowBlank="1" showInputMessage="1" showErrorMessage="1" errorTitle="Flasches Mass" error="Muss zwischen 44 und 50 mm sein" sqref="D19:D20" xr:uid="{24DF3851-E263-4D3C-B121-2C24F8020A91}"/>
    <dataValidation type="whole" allowBlank="1" showInputMessage="1" showErrorMessage="1" errorTitle="Flasches Mass" error="Muss zwischen 1500 und 2550 mm sein" sqref="D15 D13" xr:uid="{AA8FCBB6-C880-4CAE-99E4-B493A63E2B93}">
      <formula1>1500</formula1>
      <formula2>2550</formula2>
    </dataValidation>
    <dataValidation type="whole" allowBlank="1" showInputMessage="1" showErrorMessage="1" errorTitle="Falsches Mass" error="Muss zwischen 750 und 1250 mm sein" sqref="D11" xr:uid="{A1D809AC-0338-41AD-B59A-9E99CD8769B6}">
      <formula1>750</formula1>
      <formula2>1250</formula2>
    </dataValidation>
    <dataValidation type="whole" operator="greaterThan" allowBlank="1" showInputMessage="1" showErrorMessage="1" errorTitle="Flasches Mass" error="Muss min. 120 mm sein" sqref="D21" xr:uid="{AF798574-BEE3-46C1-B345-4216D0F88EF7}">
      <formula1>119</formula1>
    </dataValidation>
    <dataValidation type="whole" allowBlank="1" showInputMessage="1" showErrorMessage="1" errorTitle="Falsches Mass" error="Muss zwischen 0 und 20 mm sein" sqref="D29" xr:uid="{3B90E857-698B-4A83-A3C3-D0BCEEE2D0E8}">
      <formula1>0</formula1>
      <formula2>20</formula2>
    </dataValidation>
    <dataValidation type="whole" allowBlank="1" showInputMessage="1" showErrorMessage="1" errorTitle="Flasches Mass" error="Muss zwischen 44 und 50 mm sein_x000a_(bei kleiner 44 mm, verwenden sie Hawa Porta Acoustics)" sqref="D17" xr:uid="{D47109A9-E53C-472B-98D2-0AB238497B97}">
      <formula1>44</formula1>
      <formula2>50</formula2>
    </dataValidation>
  </dataValidations>
  <hyperlinks>
    <hyperlink ref="B44:C45" location="Startseite!A1" display="Home" xr:uid="{198932BC-A285-4AEE-AF84-DB4D602B5B09}"/>
    <hyperlink ref="B41:C42" location="'Art J U'!A1" display="Zurück" xr:uid="{4DB6C519-FE87-4446-A4A9-0BED986453EB}"/>
    <hyperlink ref="E41:F42" location="'6'!A1" display="Zum Plan " xr:uid="{A150F3D9-C44E-4739-8FE6-FBEA941A01D1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EBE74B25-E2D8-42C4-BC06-EA98D4BDF4D0}">
          <x14:formula1>
            <xm:f>Daten!$B$2:$B$3</xm:f>
          </x14:formula1>
          <xm:sqref>D33 D35 D37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3D59-9738-456C-9335-4F187D927B78}">
  <sheetPr>
    <pageSetUpPr fitToPage="1"/>
  </sheetPr>
  <dimension ref="C2:AD77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U L T '!U25</f>
        <v>22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U L T '!D15</f>
        <v>1606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U L T '!U11</f>
        <v>1550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U L T '!V49</f>
        <v>30437</v>
      </c>
      <c r="AA11" s="21">
        <v>1</v>
      </c>
      <c r="AB11" s="21" t="str">
        <f>'P J U L T '!W49</f>
        <v>Hawa Acoustics XS links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U L T '!U45</f>
        <v>855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U L T '!U47</f>
        <v>875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U L T '!V32</f>
        <v>27673</v>
      </c>
      <c r="AA15" s="21">
        <v>1</v>
      </c>
      <c r="AB15" s="21" t="str">
        <f>'P J U L T '!W32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U L T '!V39</f>
        <v>27689</v>
      </c>
      <c r="AA18" s="21">
        <f>IF('P J U L T '!D33="JA",1,0)</f>
        <v>1</v>
      </c>
      <c r="AB18" s="21" t="str">
        <f>'P J U L T '!W39</f>
        <v>Clip-Blende 2000 mm</v>
      </c>
      <c r="AC18" s="21"/>
      <c r="AD18" s="21"/>
    </row>
    <row r="19" spans="11:30" x14ac:dyDescent="0.25">
      <c r="Z19" s="21">
        <f>IF('P J U L T '!D35="JA",Daten!L5,0)</f>
        <v>30434</v>
      </c>
      <c r="AA19" s="21">
        <f>IF('P J U L T '!D35="JA",1,0)</f>
        <v>1</v>
      </c>
      <c r="AB19" s="32" t="str">
        <f>IF('P J U L T '!D35="Ja",Daten!M5,0)</f>
        <v>Blendenendstück Set links</v>
      </c>
      <c r="AC19" s="21"/>
      <c r="AD19" s="21"/>
    </row>
    <row r="20" spans="11:30" x14ac:dyDescent="0.25">
      <c r="Z20" s="21">
        <f>IF('P J U L T '!D37="JA",Daten!L6,0)</f>
        <v>30435</v>
      </c>
      <c r="AA20" s="21">
        <f>IF('P J U L T '!D37="JA",1,0)</f>
        <v>1</v>
      </c>
      <c r="AB20" s="21" t="str">
        <f>IF('P J U L T '!D37="Ja",Daten!M6,0)</f>
        <v>Blendenendstück Set rechts</v>
      </c>
      <c r="AC20" s="21"/>
      <c r="AD20" s="21"/>
    </row>
    <row r="25" spans="11:30" x14ac:dyDescent="0.25">
      <c r="K25" s="16" t="s">
        <v>63</v>
      </c>
      <c r="L25" s="17">
        <f>T48-10</f>
        <v>40</v>
      </c>
      <c r="M25" s="17" t="s">
        <v>19</v>
      </c>
      <c r="N25" s="18"/>
    </row>
    <row r="48" spans="3:21" x14ac:dyDescent="0.25">
      <c r="C48" s="16" t="s">
        <v>59</v>
      </c>
      <c r="D48" s="17">
        <f>'P J U L T '!U31</f>
        <v>1640</v>
      </c>
      <c r="E48" s="18" t="s">
        <v>19</v>
      </c>
      <c r="K48" s="16" t="s">
        <v>56</v>
      </c>
      <c r="L48" s="17">
        <f>'P J U L T '!D11</f>
        <v>750</v>
      </c>
      <c r="M48" s="18" t="s">
        <v>19</v>
      </c>
      <c r="S48" s="16" t="s">
        <v>57</v>
      </c>
      <c r="T48" s="17">
        <f>'P J U L T '!D25</f>
        <v>50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U L T '!U15</f>
        <v>880</v>
      </c>
      <c r="M50" s="18" t="s">
        <v>19</v>
      </c>
      <c r="S50" s="16" t="s">
        <v>58</v>
      </c>
      <c r="T50" s="17">
        <f>'P J U L T '!D27</f>
        <v>17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J U L T '!D29</f>
        <v>10</v>
      </c>
      <c r="U52" s="18" t="s">
        <v>19</v>
      </c>
    </row>
    <row r="62" spans="3:21" x14ac:dyDescent="0.25">
      <c r="C62" s="16" t="s">
        <v>61</v>
      </c>
      <c r="D62" s="17">
        <f>'P J U L T '!U35</f>
        <v>1640</v>
      </c>
      <c r="E62" s="17" t="s">
        <v>19</v>
      </c>
      <c r="F62" s="17" t="s">
        <v>60</v>
      </c>
      <c r="G62" s="18"/>
      <c r="K62" s="16" t="s">
        <v>114</v>
      </c>
      <c r="L62" s="17">
        <f>'P J U L T '!D21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61</v>
      </c>
      <c r="D64" s="17">
        <f>D62+6</f>
        <v>1646</v>
      </c>
      <c r="E64" s="17" t="s">
        <v>19</v>
      </c>
      <c r="F64" s="17" t="s">
        <v>50</v>
      </c>
      <c r="G64" s="18"/>
    </row>
    <row r="65" spans="3:23" ht="6" customHeight="1" x14ac:dyDescent="0.25"/>
    <row r="66" spans="3:23" x14ac:dyDescent="0.25">
      <c r="C66" s="16" t="s">
        <v>62</v>
      </c>
      <c r="D66" s="17">
        <f>D62+12</f>
        <v>1652</v>
      </c>
      <c r="E66" s="17" t="s">
        <v>19</v>
      </c>
      <c r="F66" s="17" t="s">
        <v>51</v>
      </c>
      <c r="G66" s="18"/>
    </row>
    <row r="67" spans="3:23" ht="6" customHeight="1" x14ac:dyDescent="0.25"/>
    <row r="68" spans="3:23" x14ac:dyDescent="0.25">
      <c r="C68" s="16" t="s">
        <v>69</v>
      </c>
      <c r="D68" s="17">
        <f>H6+53</f>
        <v>75</v>
      </c>
      <c r="E68" s="17" t="s">
        <v>19</v>
      </c>
      <c r="F68" s="17"/>
      <c r="G68" s="18"/>
      <c r="V68" s="3" t="s">
        <v>198</v>
      </c>
      <c r="W68" s="3"/>
    </row>
    <row r="73" spans="3:23" x14ac:dyDescent="0.25">
      <c r="C73" s="70" t="s">
        <v>16</v>
      </c>
      <c r="D73" s="71"/>
    </row>
    <row r="74" spans="3:23" x14ac:dyDescent="0.25">
      <c r="C74" s="72"/>
      <c r="D74" s="73"/>
    </row>
    <row r="76" spans="3:23" x14ac:dyDescent="0.25">
      <c r="C76" s="70" t="s">
        <v>8</v>
      </c>
      <c r="D76" s="71"/>
    </row>
    <row r="77" spans="3:23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668BC32C-D846-4F1B-BCCF-F6ED9D2B997B}"/>
    <hyperlink ref="C73:D74" location="'P J U L T '!A1" display="Zurück" xr:uid="{A1F7638B-99D6-4CC5-8742-9768ABAE134D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680B-BFFD-43AB-8293-48F3268BCC9C}">
  <dimension ref="B3:X50"/>
  <sheetViews>
    <sheetView zoomScale="85" zoomScaleNormal="85" workbookViewId="0">
      <selection activeCell="D14" sqref="D14"/>
    </sheetView>
  </sheetViews>
  <sheetFormatPr baseColWidth="10" defaultRowHeight="15" outlineLevelCol="1" x14ac:dyDescent="0.25"/>
  <cols>
    <col min="1" max="1" width="11.42578125" style="1"/>
    <col min="2" max="2" width="15" style="1" customWidth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1550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D13+D24+D28+6+U22</f>
        <v>1606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D11+D24+(2*D28)+120</f>
        <v>940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1.4570000000000001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36.425000000000004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ht="30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6" t="s">
        <v>47</v>
      </c>
      <c r="V21" s="5"/>
      <c r="W21" s="5"/>
    </row>
    <row r="22" spans="2:23" x14ac:dyDescent="0.25">
      <c r="B22" s="126" t="s">
        <v>124</v>
      </c>
      <c r="C22" s="127"/>
      <c r="D22" s="127"/>
      <c r="E22" s="127"/>
      <c r="F22" s="128"/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v>40</v>
      </c>
      <c r="V22" s="5" t="s">
        <v>19</v>
      </c>
      <c r="W22" s="5" t="s">
        <v>2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30</v>
      </c>
      <c r="C24" s="1" t="s">
        <v>31</v>
      </c>
      <c r="D24" s="34">
        <v>50</v>
      </c>
      <c r="E24" s="1" t="s">
        <v>19</v>
      </c>
      <c r="F24" s="1" t="s">
        <v>34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D26+5</f>
        <v>22</v>
      </c>
      <c r="V24" s="5" t="s">
        <v>19</v>
      </c>
      <c r="W24" s="5" t="s">
        <v>67</v>
      </c>
    </row>
    <row r="25" spans="2:23" ht="6" customHeight="1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B26" s="1" t="s">
        <v>120</v>
      </c>
      <c r="C26" s="1" t="s">
        <v>33</v>
      </c>
      <c r="D26" s="34">
        <v>17</v>
      </c>
      <c r="E26" s="1" t="s">
        <v>19</v>
      </c>
      <c r="F26" s="1" t="s">
        <v>32</v>
      </c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>
        <f>(2*U15)-120</f>
        <v>1760</v>
      </c>
      <c r="V26" s="5" t="s">
        <v>19</v>
      </c>
      <c r="W26" s="5" t="s">
        <v>48</v>
      </c>
    </row>
    <row r="27" spans="2:23" ht="6" customHeight="1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/>
      <c r="V27" s="5"/>
      <c r="W27" s="5"/>
    </row>
    <row r="28" spans="2:23" x14ac:dyDescent="0.25">
      <c r="B28" s="1" t="s">
        <v>125</v>
      </c>
      <c r="C28" s="1" t="s">
        <v>126</v>
      </c>
      <c r="D28" s="34">
        <v>10</v>
      </c>
      <c r="E28" s="1" t="s">
        <v>19</v>
      </c>
      <c r="F28" s="1" t="s">
        <v>127</v>
      </c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191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U26</f>
        <v>1760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>
        <f>IF(U30&lt;2001,Daten!L2,IF(U30&lt;2501,Daten!L3,IF(U30&lt;3001,Daten!L4,0)))</f>
        <v>27673</v>
      </c>
      <c r="W31" s="5" t="str">
        <f>IF(V31=27673,Daten!M2,IF(V31=30323,Daten!M3,IF(V31=27672,Daten!M4,"siehe Katlaog")))</f>
        <v>Laufschiene, eloxiert, gelocht 2000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37</v>
      </c>
      <c r="D34" s="34" t="s">
        <v>40</v>
      </c>
      <c r="F34" s="1" t="s">
        <v>39</v>
      </c>
      <c r="J34" s="31" t="s">
        <v>198</v>
      </c>
      <c r="K34" s="11"/>
      <c r="M34" s="11" t="s">
        <v>18</v>
      </c>
      <c r="N34" s="11"/>
      <c r="O34" s="11"/>
      <c r="P34" s="11"/>
      <c r="Q34" s="11"/>
      <c r="R34" s="12"/>
      <c r="S34" s="11"/>
      <c r="T34" s="5"/>
      <c r="U34" s="5">
        <f>U30</f>
        <v>1760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B36" s="1" t="s">
        <v>38</v>
      </c>
      <c r="D36" s="34" t="s">
        <v>40</v>
      </c>
      <c r="F36" s="1" t="s">
        <v>39</v>
      </c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U24+54-1</f>
        <v>75</v>
      </c>
      <c r="V36" s="5" t="s">
        <v>19</v>
      </c>
      <c r="W36" s="5" t="s">
        <v>165</v>
      </c>
    </row>
    <row r="37" spans="2:23" ht="6" customHeight="1" x14ac:dyDescent="0.25">
      <c r="F37" s="1" t="s">
        <v>55</v>
      </c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>
        <f>IF(U34&lt;2001,Daten!L8,IF(U34&lt;2501,Daten!L9,Daten!L10))</f>
        <v>27689</v>
      </c>
      <c r="W38" s="5" t="str">
        <f>IF(V38=27689,Daten!M8,IF(V38=30328,Daten!M9,Daten!M10))</f>
        <v>Clip-Blende 2000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U15-25</f>
        <v>915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U15-5</f>
        <v>935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IF(U15&lt;931,Daten!I8,IF(U15&lt;1051,Daten!I9,IF(U15&lt;1181,Daten!I10,IF(U15&lt;1301,Daten!I11,Daten!I12))))</f>
        <v>30438</v>
      </c>
      <c r="W48" s="5" t="str">
        <f>IF(V48=30436,Daten!J8,IF(V48=30438,Daten!J9,IF(V48=30440,Daten!J10,IF(V48=30442,Daten!J11,Daten!J12))))</f>
        <v xml:space="preserve">Hawa Acoustics S rechts </v>
      </c>
    </row>
    <row r="50" spans="10:10" x14ac:dyDescent="0.25">
      <c r="J50" s="19"/>
    </row>
  </sheetData>
  <sheetProtection sheet="1" objects="1" scenarios="1"/>
  <mergeCells count="8">
    <mergeCell ref="B43:C44"/>
    <mergeCell ref="B3:M5"/>
    <mergeCell ref="B7:M7"/>
    <mergeCell ref="B9:F9"/>
    <mergeCell ref="B22:F22"/>
    <mergeCell ref="B30:F30"/>
    <mergeCell ref="B40:C41"/>
    <mergeCell ref="E40:F41"/>
  </mergeCells>
  <conditionalFormatting sqref="D15">
    <cfRule type="expression" dxfId="15" priority="2">
      <formula>$D$15&gt;2550</formula>
    </cfRule>
  </conditionalFormatting>
  <conditionalFormatting sqref="H19">
    <cfRule type="expression" dxfId="14" priority="1">
      <formula>$H$19&gt;100</formula>
    </cfRule>
  </conditionalFormatting>
  <dataValidations count="8">
    <dataValidation type="whole" allowBlank="1" showInputMessage="1" showErrorMessage="1" errorTitle="Falsches Mass" error="Muss zwischen 6 und 25 mm sein" sqref="D26" xr:uid="{D1D98B0B-902E-4AC9-BE5E-2EB833AF353B}">
      <formula1>6</formula1>
      <formula2>25</formula2>
    </dataValidation>
    <dataValidation type="whole" allowBlank="1" showInputMessage="1" showErrorMessage="1" errorTitle="Falsches Mass" error="Muss zwischen 0 und 20 mm sein" sqref="D28" xr:uid="{B083D9A5-FC7B-4369-B5BF-E6A52D4E4986}">
      <formula1>0</formula1>
      <formula2>20</formula2>
    </dataValidation>
    <dataValidation type="whole" allowBlank="1" showInputMessage="1" showErrorMessage="1" errorTitle="Falsches Mass" error="Muss zwischen 30 und 60 mm sein" sqref="D24" xr:uid="{229227DF-6B20-4123-80DC-7DDCCE83677D}">
      <formula1>30</formula1>
      <formula2>60</formula2>
    </dataValidation>
    <dataValidation type="whole" allowBlank="1" showInputMessage="1" showErrorMessage="1" errorTitle="Falsches Mass" error="Muss zwischen 750 und 1250 mm sein" sqref="D27" xr:uid="{C0BDADAD-D561-431E-B76B-4FED6CBAE447}">
      <formula1>6</formula1>
      <formula2>25</formula2>
    </dataValidation>
    <dataValidation allowBlank="1" showInputMessage="1" showErrorMessage="1" errorTitle="Flasches Mass" error="Muss zwischen 44 und 50 mm sein" sqref="D19" xr:uid="{73842E4D-29E8-44C5-B5F2-45A0A5FAE37C}"/>
    <dataValidation type="whole" allowBlank="1" showInputMessage="1" showErrorMessage="1" errorTitle="Flasches Mass" error="Muss zwischen 1500 und 2550 mm sein" sqref="D15 D13" xr:uid="{8DD07F97-E118-4EC1-B9A0-5725AC579644}">
      <formula1>1500</formula1>
      <formula2>2550</formula2>
    </dataValidation>
    <dataValidation type="whole" allowBlank="1" showInputMessage="1" showErrorMessage="1" errorTitle="Falsches Mass" error="Muss zwischen 750 und 1250 mm sein" sqref="D11" xr:uid="{9509E089-5DC0-4C78-9E01-BDF81B0F756E}">
      <formula1>750</formula1>
      <formula2>1250</formula2>
    </dataValidation>
    <dataValidation type="whole" allowBlank="1" showInputMessage="1" showErrorMessage="1" errorTitle="Flasches Mass" error="Muss zwischen 44 und 50 mm sein_x000a_(bei kleiner 44 mm, verwenden sie Hawa Porta Acoustics)" sqref="D17" xr:uid="{336C6582-A9EA-466D-A053-DCBFB4F77744}">
      <formula1>44</formula1>
      <formula2>50</formula2>
    </dataValidation>
  </dataValidations>
  <hyperlinks>
    <hyperlink ref="B43:C44" location="Startseite!A1" display="Home" xr:uid="{F53D76D5-3B78-430D-858C-FE47E25A819C}"/>
    <hyperlink ref="B40:C41" location="'Art J U'!A1" display="Zurück" xr:uid="{BD14810E-0879-42D8-B58E-8D04C4FCBE02}"/>
    <hyperlink ref="E40:F41" location="'11'!A1" display="Zum Plan " xr:uid="{E04498AB-7E82-4478-925A-C056191A4689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430AC63C-ABBF-4A90-987B-9FB4E1C3B97D}">
          <x14:formula1>
            <xm:f>Daten!$B$2:$B$3</xm:f>
          </x14:formula1>
          <xm:sqref>D32 D34 D36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129A-759D-4225-9416-87A770C6008C}">
  <sheetPr>
    <pageSetUpPr fitToPage="1"/>
  </sheetPr>
  <dimension ref="C2:AD77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U R G  '!U24</f>
        <v>22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U R G  '!D15</f>
        <v>1606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U R G  '!U11</f>
        <v>1550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U R G  '!V48</f>
        <v>30438</v>
      </c>
      <c r="AA11" s="21">
        <v>1</v>
      </c>
      <c r="AB11" s="21" t="str">
        <f>'P J U R G  '!W48</f>
        <v xml:space="preserve">Hawa Acoustics S rechts 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U R G  '!U44</f>
        <v>915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U R G  '!U46</f>
        <v>935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U R G  '!V31</f>
        <v>27673</v>
      </c>
      <c r="AA15" s="21">
        <v>1</v>
      </c>
      <c r="AB15" s="21" t="str">
        <f>'P J U R G  '!W31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U R G  '!V38</f>
        <v>27689</v>
      </c>
      <c r="AA18" s="21">
        <f>IF('P J U R G  '!D32="JA",1,0)</f>
        <v>1</v>
      </c>
      <c r="AB18" s="21" t="str">
        <f>'P J U R G  '!W38</f>
        <v>Clip-Blende 2000 mm</v>
      </c>
      <c r="AC18" s="21"/>
      <c r="AD18" s="21"/>
    </row>
    <row r="19" spans="11:30" x14ac:dyDescent="0.25">
      <c r="Z19" s="21">
        <f>IF('P J U R G  '!D34="JA",Daten!L5,0)</f>
        <v>30434</v>
      </c>
      <c r="AA19" s="21">
        <f>IF('P J U R G  '!D34="JA",1,0)</f>
        <v>1</v>
      </c>
      <c r="AB19" s="21" t="str">
        <f>IF('P J U R G  '!D34="Ja",Daten!M5,0)</f>
        <v>Blendenendstück Set links</v>
      </c>
      <c r="AC19" s="21"/>
      <c r="AD19" s="21"/>
    </row>
    <row r="20" spans="11:30" x14ac:dyDescent="0.25">
      <c r="Z20" s="21">
        <f>IF('P J U R G  '!D36="JA",Daten!L6,0)</f>
        <v>30435</v>
      </c>
      <c r="AA20" s="21">
        <f>IF('P J U R G  '!D36="JA",1,0)</f>
        <v>1</v>
      </c>
      <c r="AB20" s="21" t="str">
        <f>IF('P J U R G  '!D36="Ja",Daten!M6,0)</f>
        <v>Blendenendstück Set rechts</v>
      </c>
      <c r="AC20" s="21"/>
      <c r="AD20" s="21"/>
    </row>
    <row r="25" spans="11:30" x14ac:dyDescent="0.25">
      <c r="K25" s="16" t="s">
        <v>64</v>
      </c>
      <c r="L25" s="17">
        <f>126-T48</f>
        <v>76</v>
      </c>
      <c r="M25" s="17" t="s">
        <v>19</v>
      </c>
      <c r="N25" s="18"/>
      <c r="T25" s="16" t="s">
        <v>146</v>
      </c>
      <c r="U25" s="17">
        <f>T48-10</f>
        <v>40</v>
      </c>
      <c r="V25" s="18" t="s">
        <v>19</v>
      </c>
    </row>
    <row r="48" spans="3:21" x14ac:dyDescent="0.25">
      <c r="C48" s="16" t="s">
        <v>59</v>
      </c>
      <c r="D48" s="17">
        <f>'P J U R G  '!U30</f>
        <v>1760</v>
      </c>
      <c r="E48" s="18" t="s">
        <v>19</v>
      </c>
      <c r="K48" s="16" t="s">
        <v>56</v>
      </c>
      <c r="L48" s="17">
        <f>'P J U R G  '!D11</f>
        <v>750</v>
      </c>
      <c r="M48" s="18" t="s">
        <v>19</v>
      </c>
      <c r="S48" s="16" t="s">
        <v>57</v>
      </c>
      <c r="T48" s="17">
        <f>'P J U R G  '!D24</f>
        <v>50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U R G  '!U15</f>
        <v>940</v>
      </c>
      <c r="M50" s="18" t="s">
        <v>19</v>
      </c>
      <c r="S50" s="16" t="s">
        <v>58</v>
      </c>
      <c r="T50" s="17">
        <f>'P J U R G  '!D26</f>
        <v>17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J U R G  '!D28</f>
        <v>10</v>
      </c>
      <c r="U52" s="18" t="s">
        <v>19</v>
      </c>
    </row>
    <row r="62" spans="3:21" x14ac:dyDescent="0.25">
      <c r="C62" s="16" t="s">
        <v>61</v>
      </c>
      <c r="D62" s="17">
        <f>'P J U R G  '!U34</f>
        <v>1760</v>
      </c>
      <c r="E62" s="17" t="s">
        <v>19</v>
      </c>
      <c r="F62" s="17" t="s">
        <v>60</v>
      </c>
      <c r="G62" s="18"/>
    </row>
    <row r="63" spans="3:21" ht="6" customHeight="1" x14ac:dyDescent="0.25"/>
    <row r="64" spans="3:21" x14ac:dyDescent="0.25">
      <c r="C64" s="16" t="s">
        <v>61</v>
      </c>
      <c r="D64" s="17">
        <f>D62+6</f>
        <v>1766</v>
      </c>
      <c r="E64" s="17" t="s">
        <v>19</v>
      </c>
      <c r="F64" s="17" t="s">
        <v>50</v>
      </c>
      <c r="G64" s="18"/>
    </row>
    <row r="65" spans="3:21" ht="6" customHeight="1" x14ac:dyDescent="0.25"/>
    <row r="66" spans="3:21" x14ac:dyDescent="0.25">
      <c r="C66" s="16" t="s">
        <v>62</v>
      </c>
      <c r="D66" s="17">
        <f>D62+12</f>
        <v>1772</v>
      </c>
      <c r="E66" s="17" t="s">
        <v>19</v>
      </c>
      <c r="F66" s="17" t="s">
        <v>51</v>
      </c>
      <c r="G66" s="18"/>
    </row>
    <row r="67" spans="3:21" ht="6" customHeight="1" x14ac:dyDescent="0.25"/>
    <row r="68" spans="3:21" x14ac:dyDescent="0.25">
      <c r="C68" s="16" t="s">
        <v>69</v>
      </c>
      <c r="D68" s="17">
        <f>H6+53</f>
        <v>75</v>
      </c>
      <c r="E68" s="17" t="s">
        <v>19</v>
      </c>
      <c r="F68" s="17"/>
      <c r="G68" s="18"/>
      <c r="U68" s="3" t="s">
        <v>198</v>
      </c>
    </row>
    <row r="73" spans="3:21" x14ac:dyDescent="0.25">
      <c r="C73" s="70" t="s">
        <v>16</v>
      </c>
      <c r="D73" s="71"/>
    </row>
    <row r="74" spans="3:21" x14ac:dyDescent="0.25">
      <c r="C74" s="72"/>
      <c r="D74" s="73"/>
    </row>
    <row r="76" spans="3:21" x14ac:dyDescent="0.25">
      <c r="C76" s="70" t="s">
        <v>8</v>
      </c>
      <c r="D76" s="71"/>
    </row>
    <row r="77" spans="3:21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41D5318F-44E0-45E1-86C7-BA9ED6178E34}"/>
    <hyperlink ref="C73:D74" location="'P J U R G  '!A1" display="Zurück" xr:uid="{A2370F73-AB04-468D-90E8-87C2562D523D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06B4-53ED-41B3-AD86-51729F093568}">
  <dimension ref="B3:X51"/>
  <sheetViews>
    <sheetView zoomScale="85" zoomScaleNormal="85" workbookViewId="0"/>
  </sheetViews>
  <sheetFormatPr baseColWidth="10" defaultRowHeight="15" outlineLevelCol="1" x14ac:dyDescent="0.25"/>
  <cols>
    <col min="1" max="1" width="11.42578125" style="1"/>
    <col min="2" max="2" width="15.85546875" style="1" customWidth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150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2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D15-40-6-10</f>
        <v>1550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2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D13+D25+D29+6+U23</f>
        <v>1606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D11+(2*D25)+(2*D29)+10</f>
        <v>880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2">
        <v>45</v>
      </c>
      <c r="E17" s="1" t="s">
        <v>19</v>
      </c>
      <c r="F17" s="1" t="s">
        <v>24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1.3640000000000001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2">
        <v>25</v>
      </c>
      <c r="E19" s="1" t="s">
        <v>26</v>
      </c>
      <c r="F19" s="1" t="s">
        <v>27</v>
      </c>
      <c r="H19" s="4">
        <f>U17*D19</f>
        <v>34.1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2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124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40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2">
        <v>50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D27+5</f>
        <v>22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120</v>
      </c>
      <c r="C27" s="1" t="s">
        <v>33</v>
      </c>
      <c r="D27" s="2">
        <v>17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(2*U15)-D21</f>
        <v>1640</v>
      </c>
      <c r="V27" s="5" t="s">
        <v>19</v>
      </c>
      <c r="W27" s="5" t="s">
        <v>48</v>
      </c>
    </row>
    <row r="28" spans="2:23" ht="6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125</v>
      </c>
      <c r="C29" s="1" t="s">
        <v>126</v>
      </c>
      <c r="D29" s="2">
        <v>10</v>
      </c>
      <c r="E29" s="1" t="s">
        <v>19</v>
      </c>
      <c r="F29" s="1" t="s">
        <v>127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/>
      <c r="W29" s="5"/>
    </row>
    <row r="30" spans="2:23" x14ac:dyDescent="0.25">
      <c r="D30" s="35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 t="s">
        <v>49</v>
      </c>
      <c r="V30" s="5"/>
      <c r="W30" s="5"/>
    </row>
    <row r="31" spans="2:23" x14ac:dyDescent="0.25">
      <c r="B31" s="126" t="s">
        <v>191</v>
      </c>
      <c r="C31" s="127"/>
      <c r="D31" s="127"/>
      <c r="E31" s="127"/>
      <c r="F31" s="128"/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>
        <f>U27</f>
        <v>1640</v>
      </c>
      <c r="V31" s="5" t="s">
        <v>19</v>
      </c>
      <c r="W31" s="5" t="s">
        <v>48</v>
      </c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>
        <f>IF(U31&lt;2001,Daten!L2,IF(U31&lt;2501,Daten!L3,IF(U31&lt;3001,Daten!L4,0)))</f>
        <v>27673</v>
      </c>
      <c r="W32" s="5" t="str">
        <f>IF(V32=27673,Daten!M2,IF(V32=30323,Daten!M3,IF(V32=27672,Daten!M4,"siehe Katlaog")))</f>
        <v>Laufschiene, eloxiert, gelocht 2000 mm</v>
      </c>
    </row>
    <row r="33" spans="2:23" x14ac:dyDescent="0.25">
      <c r="B33" s="1" t="s">
        <v>36</v>
      </c>
      <c r="D33" s="2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6" t="s">
        <v>101</v>
      </c>
      <c r="V33" s="5"/>
      <c r="W33" s="5"/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B35" s="1" t="s">
        <v>37</v>
      </c>
      <c r="D35" s="2" t="s">
        <v>40</v>
      </c>
      <c r="F35" s="1" t="s">
        <v>39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>
        <f>U31</f>
        <v>1640</v>
      </c>
      <c r="V35" s="5" t="s">
        <v>19</v>
      </c>
      <c r="W35" s="5" t="s">
        <v>100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B37" s="1" t="s">
        <v>38</v>
      </c>
      <c r="D37" s="2" t="s">
        <v>40</v>
      </c>
      <c r="F37" s="1" t="s">
        <v>39</v>
      </c>
      <c r="J37" s="10"/>
      <c r="K37" s="11"/>
      <c r="M37" s="11" t="s">
        <v>18</v>
      </c>
      <c r="N37" s="11"/>
      <c r="O37" s="11"/>
      <c r="P37" s="11"/>
      <c r="Q37" s="11"/>
      <c r="R37" s="12"/>
      <c r="S37" s="11"/>
      <c r="T37" s="5"/>
      <c r="U37" s="5">
        <f>U25+54-1</f>
        <v>75</v>
      </c>
      <c r="V37" s="5" t="s">
        <v>19</v>
      </c>
      <c r="W37" s="5" t="s">
        <v>165</v>
      </c>
    </row>
    <row r="38" spans="2:23" ht="6" customHeight="1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>
        <f>IF(U35&lt;2001,Daten!L8,IF(U35&lt;2501,Daten!L9,Daten!L10))</f>
        <v>27689</v>
      </c>
      <c r="W39" s="5" t="str">
        <f>IF(V39=27689,Daten!M8,IF(V39=30328,Daten!M9,Daten!M10))</f>
        <v>Clip-Blende 2000 mm</v>
      </c>
    </row>
    <row r="40" spans="2:23" ht="6" customHeight="1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0" t="s">
        <v>16</v>
      </c>
      <c r="C41" s="71"/>
      <c r="E41" s="70" t="s">
        <v>111</v>
      </c>
      <c r="F41" s="71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2"/>
      <c r="C42" s="73"/>
      <c r="E42" s="72"/>
      <c r="F42" s="73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6" t="s">
        <v>53</v>
      </c>
      <c r="V43" s="5"/>
      <c r="W43" s="5"/>
    </row>
    <row r="44" spans="2:23" ht="6" customHeight="1" x14ac:dyDescent="0.25">
      <c r="B44" s="70" t="s">
        <v>8</v>
      </c>
      <c r="C44" s="71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B45" s="72"/>
      <c r="C45" s="73"/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>
        <f>U15-25</f>
        <v>855</v>
      </c>
      <c r="V45" s="5" t="s">
        <v>19</v>
      </c>
      <c r="W45" s="5" t="s">
        <v>110</v>
      </c>
    </row>
    <row r="46" spans="2:23" ht="6" customHeight="1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>
        <f>U15-5</f>
        <v>875</v>
      </c>
      <c r="V47" s="5" t="s">
        <v>19</v>
      </c>
      <c r="W47" s="5" t="s">
        <v>54</v>
      </c>
    </row>
    <row r="48" spans="2:23" ht="6" customHeight="1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/>
      <c r="V48" s="5"/>
      <c r="W48" s="5"/>
    </row>
    <row r="49" spans="10:23" x14ac:dyDescent="0.25">
      <c r="J49" s="13"/>
      <c r="K49" s="14"/>
      <c r="L49" s="14"/>
      <c r="M49" s="14"/>
      <c r="N49" s="14"/>
      <c r="O49" s="14"/>
      <c r="P49" s="14"/>
      <c r="Q49" s="14"/>
      <c r="R49" s="15"/>
      <c r="S49" s="11"/>
      <c r="T49" s="5"/>
      <c r="U49" s="5"/>
      <c r="V49" s="5">
        <f>IF(U15&lt;931,Daten!I8,IF(U15&lt;1051,Daten!I9,IF(U15&lt;1181,Daten!I10,IF(U15&lt;1301,Daten!I11,Daten!I12))))</f>
        <v>30436</v>
      </c>
      <c r="W49" s="5" t="str">
        <f>IF(V49=30436,Daten!J8,IF(V49=30438,Daten!J9,IF(V49=30440,Daten!J10,IF(V49=30442,Daten!J11,Daten!J12))))</f>
        <v xml:space="preserve">Hawa Acoustics XS rechts </v>
      </c>
    </row>
    <row r="51" spans="10:23" x14ac:dyDescent="0.25">
      <c r="J51" s="19"/>
    </row>
  </sheetData>
  <sheetProtection sheet="1" objects="1" scenarios="1"/>
  <mergeCells count="8">
    <mergeCell ref="B44:C45"/>
    <mergeCell ref="B3:M5"/>
    <mergeCell ref="B7:M7"/>
    <mergeCell ref="B9:F9"/>
    <mergeCell ref="B23:F23"/>
    <mergeCell ref="B31:F31"/>
    <mergeCell ref="B41:C42"/>
    <mergeCell ref="E41:F42"/>
  </mergeCells>
  <conditionalFormatting sqref="D15">
    <cfRule type="expression" dxfId="13" priority="2">
      <formula>$D$15&gt;2550</formula>
    </cfRule>
  </conditionalFormatting>
  <conditionalFormatting sqref="H19">
    <cfRule type="expression" dxfId="12" priority="1">
      <formula>$H$19&gt;100</formula>
    </cfRule>
  </conditionalFormatting>
  <dataValidations count="8">
    <dataValidation type="whole" allowBlank="1" showInputMessage="1" showErrorMessage="1" errorTitle="Falsches Mass" error="Muss zwischen 0 und 20 mm sein" sqref="D29" xr:uid="{5DD8449C-1656-4980-B0B3-CE0241257D49}">
      <formula1>0</formula1>
      <formula2>20</formula2>
    </dataValidation>
    <dataValidation type="whole" operator="greaterThan" allowBlank="1" showInputMessage="1" showErrorMessage="1" errorTitle="Flasches Mass" error="Muss min. 120 mm sein" sqref="D21" xr:uid="{C839BBD7-0BEA-4407-9665-85E00209D0AE}">
      <formula1>119</formula1>
    </dataValidation>
    <dataValidation type="whole" allowBlank="1" showInputMessage="1" showErrorMessage="1" errorTitle="Falsches Mass" error="Muss zwischen 750 und 1250 mm sein" sqref="D11" xr:uid="{660F308C-85AE-4ECB-9636-0E5D86AEA379}">
      <formula1>750</formula1>
      <formula2>1250</formula2>
    </dataValidation>
    <dataValidation type="whole" allowBlank="1" showInputMessage="1" showErrorMessage="1" errorTitle="Flasches Mass" error="Muss zwischen 1500 und 2550 mm sein" sqref="D15 D13" xr:uid="{D5FE0824-EE70-4379-B611-C38BD66012A7}">
      <formula1>1500</formula1>
      <formula2>2550</formula2>
    </dataValidation>
    <dataValidation allowBlank="1" showInputMessage="1" showErrorMessage="1" errorTitle="Flasches Mass" error="Muss zwischen 44 und 50 mm sein" sqref="D19:D20" xr:uid="{5349E189-A03F-4321-8AE2-85B1D3D40DB6}"/>
    <dataValidation type="whole" allowBlank="1" showInputMessage="1" showErrorMessage="1" errorTitle="Falsches Mass" error="Muss zwischen 30 und 60 mm sein" sqref="D25" xr:uid="{410B9B65-A9E0-44A3-A1AC-ED6404304D51}">
      <formula1>30</formula1>
      <formula2>60</formula2>
    </dataValidation>
    <dataValidation type="whole" allowBlank="1" showInputMessage="1" showErrorMessage="1" errorTitle="Falsches Mass" error="Muss zwischen 6 und 25 mm sein" sqref="D27:D28" xr:uid="{D6D200E3-90E8-4C3C-B0FA-2F84FE364821}">
      <formula1>6</formula1>
      <formula2>25</formula2>
    </dataValidation>
    <dataValidation type="whole" allowBlank="1" showInputMessage="1" showErrorMessage="1" errorTitle="Flasches Mass" error="Muss zwischen 44 und 50 mm sein_x000a_(bei kleiner 44 mm, verwenden sie Hawa Porta Acoustics)" sqref="D17" xr:uid="{FF37DB78-0AF6-4644-9CF4-EE515722B147}">
      <formula1>44</formula1>
      <formula2>50</formula2>
    </dataValidation>
  </dataValidations>
  <hyperlinks>
    <hyperlink ref="B44:C45" location="Startseite!A1" display="Home" xr:uid="{741B68BF-E2C2-42F1-B2B8-055AA48A1EE9}"/>
    <hyperlink ref="B41:C42" location="'Art J U'!A1" display="Zurück" xr:uid="{ED458A12-318E-4409-B49B-9031F3ABBF70}"/>
    <hyperlink ref="E41:F42" location="'12'!A1" display="Zum Plan " xr:uid="{93F8A044-42B7-4EF2-8476-08AEB765CD7F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6235C0D7-54B3-4104-9380-56E84B59540F}">
          <x14:formula1>
            <xm:f>Daten!$B$2:$B$3</xm:f>
          </x14:formula1>
          <xm:sqref>D33 D35 D37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AF73B-383B-4231-8E43-9B277AA72E1D}">
  <dimension ref="B3:L32"/>
  <sheetViews>
    <sheetView zoomScale="85" zoomScaleNormal="85" workbookViewId="0"/>
  </sheetViews>
  <sheetFormatPr baseColWidth="10" defaultRowHeight="15" x14ac:dyDescent="0.25"/>
  <cols>
    <col min="1" max="1" width="11.42578125" style="1"/>
    <col min="2" max="2" width="6.7109375" style="1" customWidth="1"/>
    <col min="3" max="3" width="30.7109375" style="1" customWidth="1"/>
    <col min="4" max="4" width="6.7109375" style="1" customWidth="1"/>
    <col min="5" max="5" width="11.42578125" style="1"/>
    <col min="6" max="6" width="6.7109375" style="1" customWidth="1"/>
    <col min="7" max="7" width="30.7109375" style="1" customWidth="1"/>
    <col min="8" max="8" width="6.7109375" style="1" customWidth="1"/>
    <col min="9" max="9" width="11.42578125" style="1"/>
    <col min="10" max="10" width="6.7109375" style="1" customWidth="1"/>
    <col min="11" max="11" width="30.7109375" style="1" customWidth="1"/>
    <col min="12" max="12" width="6.7109375" style="1" customWidth="1"/>
    <col min="13" max="16384" width="11.42578125" style="1"/>
  </cols>
  <sheetData>
    <row r="3" spans="2:12" x14ac:dyDescent="0.25">
      <c r="B3" s="61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2:12" x14ac:dyDescent="0.25">
      <c r="B4" s="64"/>
      <c r="C4" s="65"/>
      <c r="D4" s="65"/>
      <c r="E4" s="65"/>
      <c r="F4" s="65"/>
      <c r="G4" s="65"/>
      <c r="H4" s="65"/>
      <c r="I4" s="65"/>
      <c r="J4" s="65"/>
      <c r="K4" s="65"/>
      <c r="L4" s="66"/>
    </row>
    <row r="5" spans="2:12" x14ac:dyDescent="0.25">
      <c r="B5" s="67"/>
      <c r="C5" s="68"/>
      <c r="D5" s="68"/>
      <c r="E5" s="68"/>
      <c r="F5" s="68"/>
      <c r="G5" s="68"/>
      <c r="H5" s="68"/>
      <c r="I5" s="68"/>
      <c r="J5" s="68"/>
      <c r="K5" s="68"/>
      <c r="L5" s="69"/>
    </row>
    <row r="7" spans="2:12" ht="18.75" x14ac:dyDescent="0.3">
      <c r="B7" s="86" t="s">
        <v>11</v>
      </c>
      <c r="C7" s="87"/>
      <c r="D7" s="87"/>
      <c r="E7" s="87"/>
      <c r="F7" s="87"/>
      <c r="G7" s="87"/>
      <c r="H7" s="87"/>
      <c r="I7" s="87"/>
      <c r="J7" s="87"/>
      <c r="K7" s="87"/>
      <c r="L7" s="88"/>
    </row>
    <row r="10" spans="2:12" x14ac:dyDescent="0.25">
      <c r="B10" s="89" t="s">
        <v>144</v>
      </c>
      <c r="C10" s="90"/>
      <c r="D10" s="91"/>
      <c r="F10" s="98" t="s">
        <v>9</v>
      </c>
      <c r="G10" s="75"/>
      <c r="H10" s="76"/>
      <c r="J10" s="98" t="s">
        <v>190</v>
      </c>
      <c r="K10" s="75"/>
      <c r="L10" s="76"/>
    </row>
    <row r="11" spans="2:12" x14ac:dyDescent="0.25">
      <c r="B11" s="92"/>
      <c r="C11" s="93"/>
      <c r="D11" s="94"/>
      <c r="F11" s="77"/>
      <c r="G11" s="78"/>
      <c r="H11" s="79"/>
      <c r="J11" s="77"/>
      <c r="K11" s="78"/>
      <c r="L11" s="79"/>
    </row>
    <row r="12" spans="2:12" x14ac:dyDescent="0.25">
      <c r="B12" s="92"/>
      <c r="C12" s="93"/>
      <c r="D12" s="94"/>
      <c r="F12" s="77"/>
      <c r="G12" s="78"/>
      <c r="H12" s="79"/>
      <c r="J12" s="77"/>
      <c r="K12" s="78"/>
      <c r="L12" s="79"/>
    </row>
    <row r="13" spans="2:12" x14ac:dyDescent="0.25">
      <c r="B13" s="92"/>
      <c r="C13" s="93"/>
      <c r="D13" s="94"/>
      <c r="F13" s="77"/>
      <c r="G13" s="78"/>
      <c r="H13" s="79"/>
      <c r="J13" s="77"/>
      <c r="K13" s="78"/>
      <c r="L13" s="79"/>
    </row>
    <row r="14" spans="2:12" x14ac:dyDescent="0.25">
      <c r="B14" s="92"/>
      <c r="C14" s="93"/>
      <c r="D14" s="94"/>
      <c r="F14" s="77"/>
      <c r="G14" s="78"/>
      <c r="H14" s="79"/>
      <c r="J14" s="77"/>
      <c r="K14" s="78"/>
      <c r="L14" s="79"/>
    </row>
    <row r="15" spans="2:12" x14ac:dyDescent="0.25">
      <c r="B15" s="92"/>
      <c r="C15" s="93"/>
      <c r="D15" s="94"/>
      <c r="F15" s="77"/>
      <c r="G15" s="78"/>
      <c r="H15" s="79"/>
      <c r="J15" s="77"/>
      <c r="K15" s="78"/>
      <c r="L15" s="79"/>
    </row>
    <row r="16" spans="2:12" x14ac:dyDescent="0.25">
      <c r="B16" s="92"/>
      <c r="C16" s="93"/>
      <c r="D16" s="94"/>
      <c r="F16" s="77"/>
      <c r="G16" s="78"/>
      <c r="H16" s="79"/>
      <c r="J16" s="77"/>
      <c r="K16" s="78"/>
      <c r="L16" s="79"/>
    </row>
    <row r="17" spans="2:12" x14ac:dyDescent="0.25">
      <c r="B17" s="92"/>
      <c r="C17" s="93"/>
      <c r="D17" s="94"/>
      <c r="F17" s="77"/>
      <c r="G17" s="78"/>
      <c r="H17" s="79"/>
      <c r="J17" s="77"/>
      <c r="K17" s="78"/>
      <c r="L17" s="79"/>
    </row>
    <row r="18" spans="2:12" x14ac:dyDescent="0.25">
      <c r="B18" s="92"/>
      <c r="C18" s="93"/>
      <c r="D18" s="94"/>
      <c r="F18" s="77"/>
      <c r="G18" s="78"/>
      <c r="H18" s="79"/>
      <c r="J18" s="77"/>
      <c r="K18" s="78"/>
      <c r="L18" s="79"/>
    </row>
    <row r="19" spans="2:12" x14ac:dyDescent="0.25">
      <c r="B19" s="92"/>
      <c r="C19" s="93"/>
      <c r="D19" s="94"/>
      <c r="F19" s="77"/>
      <c r="G19" s="78"/>
      <c r="H19" s="79"/>
      <c r="J19" s="77"/>
      <c r="K19" s="78"/>
      <c r="L19" s="79"/>
    </row>
    <row r="20" spans="2:12" x14ac:dyDescent="0.25">
      <c r="B20" s="92"/>
      <c r="C20" s="93"/>
      <c r="D20" s="94"/>
      <c r="F20" s="77"/>
      <c r="G20" s="78"/>
      <c r="H20" s="79"/>
      <c r="J20" s="77"/>
      <c r="K20" s="78"/>
      <c r="L20" s="79"/>
    </row>
    <row r="21" spans="2:12" x14ac:dyDescent="0.25">
      <c r="B21" s="92"/>
      <c r="C21" s="93"/>
      <c r="D21" s="94"/>
      <c r="F21" s="77"/>
      <c r="G21" s="78"/>
      <c r="H21" s="79"/>
      <c r="J21" s="77"/>
      <c r="K21" s="78"/>
      <c r="L21" s="79"/>
    </row>
    <row r="22" spans="2:12" x14ac:dyDescent="0.25">
      <c r="B22" s="92"/>
      <c r="C22" s="93"/>
      <c r="D22" s="94"/>
      <c r="F22" s="77"/>
      <c r="G22" s="78"/>
      <c r="H22" s="79"/>
      <c r="J22" s="77"/>
      <c r="K22" s="78"/>
      <c r="L22" s="79"/>
    </row>
    <row r="23" spans="2:12" x14ac:dyDescent="0.25">
      <c r="B23" s="92"/>
      <c r="C23" s="93"/>
      <c r="D23" s="94"/>
      <c r="F23" s="77"/>
      <c r="G23" s="78"/>
      <c r="H23" s="79"/>
      <c r="J23" s="77"/>
      <c r="K23" s="78"/>
      <c r="L23" s="79"/>
    </row>
    <row r="24" spans="2:12" x14ac:dyDescent="0.25">
      <c r="B24" s="92"/>
      <c r="C24" s="93"/>
      <c r="D24" s="94"/>
      <c r="F24" s="77"/>
      <c r="G24" s="78"/>
      <c r="H24" s="79"/>
      <c r="J24" s="77"/>
      <c r="K24" s="78"/>
      <c r="L24" s="79"/>
    </row>
    <row r="25" spans="2:12" x14ac:dyDescent="0.25">
      <c r="B25" s="92"/>
      <c r="C25" s="93"/>
      <c r="D25" s="94"/>
      <c r="F25" s="77"/>
      <c r="G25" s="78"/>
      <c r="H25" s="79"/>
      <c r="J25" s="77"/>
      <c r="K25" s="78"/>
      <c r="L25" s="79"/>
    </row>
    <row r="26" spans="2:12" x14ac:dyDescent="0.25">
      <c r="B26" s="95"/>
      <c r="C26" s="96"/>
      <c r="D26" s="97"/>
      <c r="F26" s="80"/>
      <c r="G26" s="81"/>
      <c r="H26" s="82"/>
      <c r="J26" s="80"/>
      <c r="K26" s="81"/>
      <c r="L26" s="82"/>
    </row>
    <row r="28" spans="2:12" x14ac:dyDescent="0.25">
      <c r="B28" s="70" t="s">
        <v>16</v>
      </c>
      <c r="C28" s="71"/>
    </row>
    <row r="29" spans="2:12" x14ac:dyDescent="0.25">
      <c r="B29" s="72"/>
      <c r="C29" s="73"/>
    </row>
    <row r="31" spans="2:12" x14ac:dyDescent="0.25">
      <c r="B31" s="70" t="s">
        <v>8</v>
      </c>
      <c r="C31" s="71"/>
    </row>
    <row r="32" spans="2:12" x14ac:dyDescent="0.25">
      <c r="B32" s="72"/>
      <c r="C32" s="73"/>
    </row>
  </sheetData>
  <sheetProtection sheet="1" objects="1" scenarios="1"/>
  <mergeCells count="7">
    <mergeCell ref="B31:C32"/>
    <mergeCell ref="B7:L7"/>
    <mergeCell ref="B3:L5"/>
    <mergeCell ref="B10:D26"/>
    <mergeCell ref="F10:H26"/>
    <mergeCell ref="J10:L26"/>
    <mergeCell ref="B28:C29"/>
  </mergeCells>
  <hyperlinks>
    <hyperlink ref="B31:C32" location="Startseite!A1" display="Home" xr:uid="{2754FDB7-27DD-427E-A144-6B5DF2B8515D}"/>
    <hyperlink ref="F10:H26" location="'Art J B'!A1" display="Detail mit Blockzarge" xr:uid="{24CE5F29-6CC7-4016-9D6B-3D12203E910F}"/>
    <hyperlink ref="J10:L26" location="'Art J U'!A1" display="Detail mit Umfassungzarge" xr:uid="{C9AFCBF2-431F-4E57-9C6A-47F6D18051E6}"/>
    <hyperlink ref="B28:C29" location="J_P!A1" display="Zurück" xr:uid="{09E8AFC4-C059-44D5-B72F-75A3EC96B38A}"/>
    <hyperlink ref="B10:D26" location="'Art J N'!A1" display="'Art J N'!A1" xr:uid="{29814132-D3E5-4615-8725-530FC17ABD0A}"/>
  </hyperlink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86E7-4A5C-4914-A622-4C76477DA2BD}">
  <sheetPr>
    <pageSetUpPr fitToPage="1"/>
  </sheetPr>
  <dimension ref="C2:AD77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U R T '!U25</f>
        <v>22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U R T '!D15</f>
        <v>1606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U R T '!U11</f>
        <v>1550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U R T '!V49</f>
        <v>30436</v>
      </c>
      <c r="AA11" s="21">
        <v>1</v>
      </c>
      <c r="AB11" s="21" t="str">
        <f>'P J U R T '!W49</f>
        <v xml:space="preserve">Hawa Acoustics XS rechts 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U R T '!U45</f>
        <v>855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U R T '!U47</f>
        <v>875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U R T '!V32</f>
        <v>27673</v>
      </c>
      <c r="AA15" s="21">
        <v>1</v>
      </c>
      <c r="AB15" s="21" t="str">
        <f>'P J U R T '!W32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9:30" x14ac:dyDescent="0.25">
      <c r="Z17" s="22" t="s">
        <v>91</v>
      </c>
      <c r="AA17" s="22"/>
      <c r="AB17" s="22"/>
      <c r="AC17" s="22"/>
      <c r="AD17" s="22"/>
    </row>
    <row r="18" spans="19:30" x14ac:dyDescent="0.25">
      <c r="Z18" s="21">
        <f>'P J U R T '!V39</f>
        <v>27689</v>
      </c>
      <c r="AA18" s="21">
        <f>IF('P J U R T '!D33="JA",1,0)</f>
        <v>1</v>
      </c>
      <c r="AB18" s="21" t="str">
        <f>'P J U R T '!W39</f>
        <v>Clip-Blende 2000 mm</v>
      </c>
      <c r="AC18" s="21"/>
      <c r="AD18" s="21"/>
    </row>
    <row r="19" spans="19:30" x14ac:dyDescent="0.25">
      <c r="Z19" s="21">
        <f>IF('P J U R T '!D35="JA",Daten!L5,0)</f>
        <v>30434</v>
      </c>
      <c r="AA19" s="21">
        <f>IF('P J U R T '!D35="JA",1,0)</f>
        <v>1</v>
      </c>
      <c r="AB19" s="21" t="str">
        <f>IF('P J U R T '!D35="Ja",Daten!M5,0)</f>
        <v>Blendenendstück Set links</v>
      </c>
      <c r="AC19" s="21"/>
      <c r="AD19" s="21"/>
    </row>
    <row r="20" spans="19:30" x14ac:dyDescent="0.25">
      <c r="Z20" s="21">
        <f>IF('P J U R T '!D37="JA",Daten!L6,0)</f>
        <v>30435</v>
      </c>
      <c r="AA20" s="21">
        <f>IF('P J U R T '!D37="JA",1,0)</f>
        <v>1</v>
      </c>
      <c r="AB20" s="21" t="str">
        <f>IF('P J U R T '!D37="Ja",Daten!M6,0)</f>
        <v>Blendenendstück Set rechts</v>
      </c>
      <c r="AC20" s="21"/>
      <c r="AD20" s="21"/>
    </row>
    <row r="25" spans="19:30" x14ac:dyDescent="0.25">
      <c r="S25" s="16" t="s">
        <v>63</v>
      </c>
      <c r="T25" s="17">
        <f>T48-10</f>
        <v>40</v>
      </c>
      <c r="U25" s="18" t="s">
        <v>19</v>
      </c>
    </row>
    <row r="48" spans="3:21" x14ac:dyDescent="0.25">
      <c r="C48" s="16" t="s">
        <v>59</v>
      </c>
      <c r="D48" s="17">
        <f>'P J U R T '!U31</f>
        <v>1640</v>
      </c>
      <c r="E48" s="18" t="s">
        <v>19</v>
      </c>
      <c r="K48" s="16" t="s">
        <v>56</v>
      </c>
      <c r="L48" s="17">
        <f>'P J U R T '!D11</f>
        <v>750</v>
      </c>
      <c r="M48" s="18" t="s">
        <v>19</v>
      </c>
      <c r="S48" s="16" t="s">
        <v>57</v>
      </c>
      <c r="T48" s="17">
        <f>'P J U R T '!D25</f>
        <v>50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U R T '!U15</f>
        <v>880</v>
      </c>
      <c r="M50" s="18" t="s">
        <v>19</v>
      </c>
      <c r="S50" s="16" t="s">
        <v>58</v>
      </c>
      <c r="T50" s="17">
        <f>'P J U R T '!D27</f>
        <v>17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J U R T '!D29</f>
        <v>10</v>
      </c>
      <c r="U52" s="18" t="s">
        <v>19</v>
      </c>
    </row>
    <row r="62" spans="3:21" x14ac:dyDescent="0.25">
      <c r="C62" s="16" t="s">
        <v>61</v>
      </c>
      <c r="D62" s="17">
        <f>'P J U R T '!U35</f>
        <v>1640</v>
      </c>
      <c r="E62" s="17" t="s">
        <v>19</v>
      </c>
      <c r="F62" s="17" t="s">
        <v>60</v>
      </c>
      <c r="G62" s="18"/>
      <c r="K62" s="16" t="s">
        <v>114</v>
      </c>
      <c r="L62" s="17">
        <f>'P J U R T '!D21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61</v>
      </c>
      <c r="D64" s="17">
        <f>D62+6</f>
        <v>1646</v>
      </c>
      <c r="E64" s="17" t="s">
        <v>19</v>
      </c>
      <c r="F64" s="17" t="s">
        <v>50</v>
      </c>
      <c r="G64" s="18"/>
    </row>
    <row r="65" spans="3:21" ht="6" customHeight="1" x14ac:dyDescent="0.25"/>
    <row r="66" spans="3:21" x14ac:dyDescent="0.25">
      <c r="C66" s="16" t="s">
        <v>62</v>
      </c>
      <c r="D66" s="17">
        <f>D62+12</f>
        <v>1652</v>
      </c>
      <c r="E66" s="17" t="s">
        <v>19</v>
      </c>
      <c r="F66" s="17" t="s">
        <v>51</v>
      </c>
      <c r="G66" s="18"/>
    </row>
    <row r="67" spans="3:21" ht="6" customHeight="1" x14ac:dyDescent="0.25"/>
    <row r="68" spans="3:21" x14ac:dyDescent="0.25">
      <c r="C68" s="16" t="s">
        <v>69</v>
      </c>
      <c r="D68" s="17">
        <f>H6+53</f>
        <v>75</v>
      </c>
      <c r="E68" s="17" t="s">
        <v>19</v>
      </c>
      <c r="F68" s="17"/>
      <c r="G68" s="18"/>
      <c r="U68" s="3" t="s">
        <v>198</v>
      </c>
    </row>
    <row r="73" spans="3:21" x14ac:dyDescent="0.25">
      <c r="C73" s="70" t="s">
        <v>16</v>
      </c>
      <c r="D73" s="71"/>
    </row>
    <row r="74" spans="3:21" x14ac:dyDescent="0.25">
      <c r="C74" s="72"/>
      <c r="D74" s="73"/>
    </row>
    <row r="76" spans="3:21" x14ac:dyDescent="0.25">
      <c r="C76" s="70" t="s">
        <v>8</v>
      </c>
      <c r="D76" s="71"/>
    </row>
    <row r="77" spans="3:21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28A37814-83FD-4794-BFA4-D305D92C34EF}"/>
    <hyperlink ref="C73:D74" location="'P J U R T '!A1" display="Zurück" xr:uid="{A74A07B1-2BAB-4670-A04D-74D38BF70DDB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6375-8CF1-4C04-9EC4-BD58D601D337}">
  <sheetPr>
    <tabColor theme="3" tint="0.79998168889431442"/>
  </sheetPr>
  <dimension ref="B3:L24"/>
  <sheetViews>
    <sheetView zoomScale="85" zoomScaleNormal="85" workbookViewId="0"/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4" spans="2:12" x14ac:dyDescent="0.25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10"/>
    </row>
    <row r="5" spans="2:12" x14ac:dyDescent="0.2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3"/>
    </row>
    <row r="7" spans="2:12" ht="18.75" x14ac:dyDescent="0.3">
      <c r="B7" s="114" t="s">
        <v>131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137" t="s">
        <v>12</v>
      </c>
      <c r="C9" s="138"/>
      <c r="E9" s="143" t="s">
        <v>172</v>
      </c>
      <c r="F9" s="144"/>
      <c r="H9" s="99" t="s">
        <v>14</v>
      </c>
      <c r="I9" s="100"/>
      <c r="K9" s="99" t="s">
        <v>15</v>
      </c>
      <c r="L9" s="100"/>
    </row>
    <row r="10" spans="2:12" x14ac:dyDescent="0.25">
      <c r="B10" s="139"/>
      <c r="C10" s="140"/>
      <c r="E10" s="145"/>
      <c r="F10" s="146"/>
      <c r="H10" s="101"/>
      <c r="I10" s="102"/>
      <c r="K10" s="101"/>
      <c r="L10" s="102"/>
    </row>
    <row r="11" spans="2:12" x14ac:dyDescent="0.25">
      <c r="B11" s="139"/>
      <c r="C11" s="140"/>
      <c r="E11" s="145"/>
      <c r="F11" s="146"/>
      <c r="H11" s="101"/>
      <c r="I11" s="102"/>
      <c r="K11" s="101"/>
      <c r="L11" s="102"/>
    </row>
    <row r="12" spans="2:12" x14ac:dyDescent="0.25">
      <c r="B12" s="139"/>
      <c r="C12" s="140"/>
      <c r="E12" s="145"/>
      <c r="F12" s="146"/>
      <c r="H12" s="101"/>
      <c r="I12" s="102"/>
      <c r="K12" s="101"/>
      <c r="L12" s="102"/>
    </row>
    <row r="13" spans="2:12" x14ac:dyDescent="0.25">
      <c r="B13" s="139"/>
      <c r="C13" s="140"/>
      <c r="E13" s="145"/>
      <c r="F13" s="146"/>
      <c r="H13" s="101"/>
      <c r="I13" s="102"/>
      <c r="K13" s="101"/>
      <c r="L13" s="102"/>
    </row>
    <row r="14" spans="2:12" x14ac:dyDescent="0.25">
      <c r="B14" s="139"/>
      <c r="C14" s="140"/>
      <c r="E14" s="145"/>
      <c r="F14" s="146"/>
      <c r="H14" s="101"/>
      <c r="I14" s="102"/>
      <c r="K14" s="101"/>
      <c r="L14" s="102"/>
    </row>
    <row r="15" spans="2:12" x14ac:dyDescent="0.25">
      <c r="B15" s="139"/>
      <c r="C15" s="140"/>
      <c r="E15" s="145"/>
      <c r="F15" s="146"/>
      <c r="H15" s="101"/>
      <c r="I15" s="102"/>
      <c r="K15" s="101"/>
      <c r="L15" s="102"/>
    </row>
    <row r="16" spans="2:12" x14ac:dyDescent="0.25">
      <c r="B16" s="139"/>
      <c r="C16" s="140"/>
      <c r="E16" s="145"/>
      <c r="F16" s="146"/>
      <c r="H16" s="101"/>
      <c r="I16" s="102"/>
      <c r="K16" s="101"/>
      <c r="L16" s="102"/>
    </row>
    <row r="17" spans="2:12" x14ac:dyDescent="0.25">
      <c r="B17" s="139"/>
      <c r="C17" s="140"/>
      <c r="E17" s="145"/>
      <c r="F17" s="146"/>
      <c r="H17" s="101"/>
      <c r="I17" s="102"/>
      <c r="K17" s="101"/>
      <c r="L17" s="102"/>
    </row>
    <row r="18" spans="2:12" x14ac:dyDescent="0.25">
      <c r="B18" s="141"/>
      <c r="C18" s="142"/>
      <c r="E18" s="147"/>
      <c r="F18" s="148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B20:C21"/>
    <mergeCell ref="B23:C24"/>
    <mergeCell ref="B3:L5"/>
    <mergeCell ref="B7:L7"/>
    <mergeCell ref="B9:C18"/>
    <mergeCell ref="E9:F18"/>
    <mergeCell ref="H9:I18"/>
    <mergeCell ref="K9:L18"/>
  </mergeCells>
  <hyperlinks>
    <hyperlink ref="B23:C24" location="Startseite!A1" display="Home" xr:uid="{EEAB9D6E-8C06-40C8-8B6A-18C1A2D70958}"/>
    <hyperlink ref="B20:C21" location="J_P!A1" display="Zurück" xr:uid="{222B8072-C57B-4846-988A-B57C12509A2A}"/>
    <hyperlink ref="H9:I18" location="'P J P R G'!A1" display="'P J P R G'!A1" xr:uid="{FD4D1972-6E5E-4701-BF06-BF86CD0E6352}"/>
    <hyperlink ref="E9:F18" location="'P J P L T '!A1" display="'P J P L T '!A1" xr:uid="{5ADC9D44-4327-4C8C-BCC4-B7F9A9D9BBF9}"/>
    <hyperlink ref="B9:C18" location="'P J P L G'!A1" display="'P J P L G'!A1" xr:uid="{C4BE100F-5613-4244-B97B-CBB78B6A12A6}"/>
    <hyperlink ref="K9:L18" location="'P J P R T'!A1" display="'P J P R T'!A1" xr:uid="{7BDAC2BB-F56D-4F41-B8B1-96B77338FFA4}"/>
  </hyperlink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418D-DE50-4EBB-8139-4B3A1CBEE756}">
  <dimension ref="B3:X47"/>
  <sheetViews>
    <sheetView zoomScale="85" zoomScaleNormal="85" workbookViewId="0">
      <selection activeCell="E37" sqref="E37:F38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173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O7" s="27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D13-52-6-10</f>
        <v>1432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1.1456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28.64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ht="30" customHeight="1" x14ac:dyDescent="0.25"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6" t="s">
        <v>47</v>
      </c>
      <c r="V19" s="5"/>
      <c r="W19" s="5"/>
    </row>
    <row r="20" spans="2:23" x14ac:dyDescent="0.25">
      <c r="B20" s="126" t="s">
        <v>28</v>
      </c>
      <c r="C20" s="127"/>
      <c r="D20" s="127"/>
      <c r="E20" s="127"/>
      <c r="F20" s="128"/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>
        <v>52</v>
      </c>
      <c r="V20" s="5" t="s">
        <v>19</v>
      </c>
      <c r="W20" s="5" t="s">
        <v>2</v>
      </c>
    </row>
    <row r="21" spans="2:23" ht="6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B22" s="1" t="s">
        <v>30</v>
      </c>
      <c r="D22" s="24">
        <v>30</v>
      </c>
      <c r="E22" s="1" t="s">
        <v>19</v>
      </c>
      <c r="F22" s="1" t="s">
        <v>132</v>
      </c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f>D24+17</f>
        <v>23</v>
      </c>
      <c r="V22" s="5" t="s">
        <v>19</v>
      </c>
      <c r="W22" s="5" t="s">
        <v>67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2</v>
      </c>
      <c r="C24" s="1" t="s">
        <v>33</v>
      </c>
      <c r="D24" s="34">
        <v>6</v>
      </c>
      <c r="E24" s="1" t="s">
        <v>19</v>
      </c>
      <c r="F24" s="1" t="s">
        <v>32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D11+50</f>
        <v>800</v>
      </c>
      <c r="V24" s="5" t="s">
        <v>19</v>
      </c>
      <c r="W24" s="5" t="s">
        <v>135</v>
      </c>
    </row>
    <row r="25" spans="2:23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6" t="s">
        <v>49</v>
      </c>
      <c r="V26" s="5"/>
      <c r="W26" s="5"/>
    </row>
    <row r="27" spans="2:23" x14ac:dyDescent="0.25">
      <c r="B27" s="126" t="s">
        <v>191</v>
      </c>
      <c r="C27" s="127"/>
      <c r="D27" s="127"/>
      <c r="E27" s="127"/>
      <c r="F27" s="128"/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(2*U13)-32</f>
        <v>1568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>
        <f>IF(U27&lt;2001,Daten!L12,IF(U27&lt;2201,Daten!L13,IF(U27&lt;2501,Daten!L14,IF(U27&lt;3001,Daten!L15,0))))</f>
        <v>10192</v>
      </c>
      <c r="W28" s="5" t="str">
        <f>IF(V28=10192,Daten!M12,IF(V28=10193,Daten!M13,IF(V28=10194,Daten!M14,IF(V28=18532,Daten!M15,"siehe Katlaog"))))</f>
        <v>Laufschiene, Aluminium, eloxiert, geloch, 2000 mm</v>
      </c>
    </row>
    <row r="29" spans="2:23" x14ac:dyDescent="0.25">
      <c r="B29" s="1" t="s">
        <v>133</v>
      </c>
      <c r="D29" s="34" t="s">
        <v>40</v>
      </c>
      <c r="F29" s="1" t="s">
        <v>39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U27+35</f>
        <v>1603</v>
      </c>
      <c r="V29" s="5" t="s">
        <v>19</v>
      </c>
      <c r="W29" s="5" t="s">
        <v>142</v>
      </c>
    </row>
    <row r="30" spans="2:23" ht="6" customHeight="1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>
        <f>IF(U29&lt;2036,Daten!L17,IF(U29&lt;2536,Daten!L18,IF(U29&lt;3036,Daten!L19,0)))</f>
        <v>25207</v>
      </c>
      <c r="W31" s="5" t="str">
        <f>IF(V31=25207,Daten!M17,IF(V31=25371,Daten!M18,IF(V31=25441,Daten!M19,0)))</f>
        <v>Set für montier- und demontierbare Laufschiene 2035 mm</v>
      </c>
    </row>
    <row r="32" spans="2:23" ht="6" customHeight="1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6" t="s">
        <v>53</v>
      </c>
      <c r="V33" s="5"/>
      <c r="W33" s="5"/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>
        <f>U13-25</f>
        <v>775</v>
      </c>
      <c r="V35" s="5" t="s">
        <v>19</v>
      </c>
      <c r="W35" s="5" t="s">
        <v>110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B37" s="70" t="s">
        <v>16</v>
      </c>
      <c r="C37" s="71"/>
      <c r="E37" s="70" t="s">
        <v>111</v>
      </c>
      <c r="F37" s="71"/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>
        <f>U13+20</f>
        <v>820</v>
      </c>
      <c r="V37" s="5" t="s">
        <v>19</v>
      </c>
      <c r="W37" s="5" t="s">
        <v>54</v>
      </c>
    </row>
    <row r="38" spans="2:23" x14ac:dyDescent="0.25">
      <c r="B38" s="72"/>
      <c r="C38" s="73"/>
      <c r="E38" s="72"/>
      <c r="F38" s="73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>
        <f>IF(U13&lt;901,Daten!F8,IF(U13&lt;1021,Daten!F9,IF(U13&lt;1151,Daten!F10,IF(U13&lt;1271,Daten!F11,Daten!F12))))</f>
        <v>30437</v>
      </c>
      <c r="W39" s="5" t="str">
        <f>IF(V39=30437,Daten!G8,IF(V39=30439,Daten!G9,IF(V39=30441,Daten!G10,IF(V39=30443,Daten!G11,Daten!G12))))</f>
        <v>Hawa Acoustics XS links</v>
      </c>
    </row>
    <row r="40" spans="2:23" ht="6" customHeight="1" x14ac:dyDescent="0.25">
      <c r="B40" s="70" t="s">
        <v>8</v>
      </c>
      <c r="C40" s="71"/>
      <c r="J40" s="10"/>
      <c r="K40" s="11"/>
      <c r="L40" s="11"/>
      <c r="M40" s="11"/>
      <c r="N40" s="11"/>
      <c r="O40" s="11"/>
      <c r="P40" s="11"/>
      <c r="Q40" s="11"/>
      <c r="R40" s="12"/>
      <c r="S40" s="11"/>
    </row>
    <row r="41" spans="2:23" x14ac:dyDescent="0.25">
      <c r="B41" s="72"/>
      <c r="C41" s="73"/>
      <c r="J41" s="10"/>
      <c r="K41" s="11"/>
      <c r="L41" s="11"/>
      <c r="M41" s="11"/>
      <c r="N41" s="11"/>
      <c r="O41" s="11"/>
      <c r="P41" s="11"/>
      <c r="Q41" s="11"/>
      <c r="R41" s="12"/>
      <c r="S41" s="11"/>
    </row>
    <row r="42" spans="2:23" ht="6" customHeight="1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ht="6" customHeight="1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x14ac:dyDescent="0.25">
      <c r="J45" s="13"/>
      <c r="K45" s="14"/>
      <c r="L45" s="14"/>
      <c r="M45" s="14"/>
      <c r="N45" s="14"/>
      <c r="O45" s="14"/>
      <c r="P45" s="14"/>
      <c r="Q45" s="14"/>
      <c r="R45" s="15"/>
      <c r="S45" s="11"/>
    </row>
    <row r="47" spans="2:23" x14ac:dyDescent="0.25">
      <c r="J47" s="19"/>
    </row>
  </sheetData>
  <sheetProtection sheet="1" objects="1" scenarios="1"/>
  <mergeCells count="8">
    <mergeCell ref="B40:C41"/>
    <mergeCell ref="B3:M5"/>
    <mergeCell ref="B7:M7"/>
    <mergeCell ref="B9:F9"/>
    <mergeCell ref="B20:F20"/>
    <mergeCell ref="B27:F27"/>
    <mergeCell ref="B37:C38"/>
    <mergeCell ref="E37:F38"/>
  </mergeCells>
  <conditionalFormatting sqref="H17">
    <cfRule type="expression" dxfId="11" priority="1">
      <formula>$H$17&gt;100</formula>
    </cfRule>
  </conditionalFormatting>
  <dataValidations count="6">
    <dataValidation type="whole" allowBlank="1" showInputMessage="1" showErrorMessage="1" errorTitle="Falsches Mass" error="Muss zwischen 6 und 25 mm sein" sqref="D24" xr:uid="{1C192F5B-C843-4973-9C10-FD2CFE85489E}">
      <formula1>6</formula1>
      <formula2>25</formula2>
    </dataValidation>
    <dataValidation type="whole" allowBlank="1" showInputMessage="1" showErrorMessage="1" errorTitle="Falsches Mass" error="Muss zwischen 750 und 1250 mm sein" sqref="D25" xr:uid="{6B7CE293-481F-4BCF-AE79-347120DB0DAE}">
      <formula1>6</formula1>
      <formula2>25</formula2>
    </dataValidation>
    <dataValidation allowBlank="1" showInputMessage="1" showErrorMessage="1" errorTitle="Flasches Mass" error="Muss zwischen 44 und 50 mm sein" sqref="D17" xr:uid="{81B619F9-80F3-4D43-9970-D12F55AD0FAF}"/>
    <dataValidation type="whole" allowBlank="1" showInputMessage="1" showErrorMessage="1" errorTitle="Flasches Mass" error="Muss zwischen 44 und 50 mm sein" sqref="D15" xr:uid="{6F79BD10-15D5-4582-BDD9-4C77B199B3FF}">
      <formula1>44</formula1>
      <formula2>50</formula2>
    </dataValidation>
    <dataValidation type="whole" allowBlank="1" showInputMessage="1" showErrorMessage="1" errorTitle="Flasches Mass" error="Muss zwischen 1500 und 2550 mm sein" sqref="D13" xr:uid="{24F565DD-8B9F-4D2E-A036-18F60531AF76}">
      <formula1>1500</formula1>
      <formula2>2550</formula2>
    </dataValidation>
    <dataValidation type="whole" allowBlank="1" showInputMessage="1" showErrorMessage="1" errorTitle="Falsches Mass" error="Muss zwischen 750 und 1250 mm sein" sqref="D11" xr:uid="{0F246B75-1948-4260-998C-AAA6474E97B0}">
      <formula1>750</formula1>
      <formula2>1250</formula2>
    </dataValidation>
  </dataValidations>
  <hyperlinks>
    <hyperlink ref="B40:C41" location="Startseite!A1" display="Home" xr:uid="{9CC37DB5-27CB-4D70-B9FD-12B72EF0DE74}"/>
    <hyperlink ref="B37:C38" location="'Art J P '!A1" display="Zurück" xr:uid="{3AAE4C1B-92DE-4A8D-B504-C0DF8CFF801A}"/>
    <hyperlink ref="E37:F38" location="'13'!A1" display="Zum Plan " xr:uid="{90BD333F-620B-4AFD-A7BF-A55FC8FABE85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1C4BFF7C-8F22-43A8-9EA7-5D441164448F}">
          <x14:formula1>
            <xm:f>Daten!$B$2:$B$3</xm:f>
          </x14:formula1>
          <xm:sqref>D29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A2E0-80AA-43E1-9AA2-1B6B9263120C}">
  <sheetPr>
    <pageSetUpPr fitToPage="1"/>
  </sheetPr>
  <dimension ref="C2:AJ77"/>
  <sheetViews>
    <sheetView topLeftCell="C1" zoomScale="70" zoomScaleNormal="70" workbookViewId="0">
      <selection activeCell="AA58" sqref="AA58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1.42578125" style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J P L G'!U22</f>
        <v>23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J P L G'!D13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J P L G'!U11</f>
        <v>1432</v>
      </c>
      <c r="I10" s="18" t="s">
        <v>19</v>
      </c>
      <c r="AF10" s="21">
        <f>Daten!F2</f>
        <v>30427</v>
      </c>
      <c r="AG10" s="21">
        <v>1</v>
      </c>
      <c r="AH10" s="21" t="str">
        <f>Daten!G2</f>
        <v>Garnitur Junior 100</v>
      </c>
      <c r="AI10" s="21"/>
      <c r="AJ10" s="21"/>
    </row>
    <row r="11" spans="6:36" x14ac:dyDescent="0.25">
      <c r="AF11" s="21">
        <f>'P J P L G'!V39</f>
        <v>30437</v>
      </c>
      <c r="AG11" s="21">
        <v>1</v>
      </c>
      <c r="AH11" s="21" t="str">
        <f>'P J P L G'!W39</f>
        <v>Hawa Acoustics XS links</v>
      </c>
      <c r="AI11" s="21"/>
      <c r="AJ11" s="21"/>
    </row>
    <row r="12" spans="6:36" x14ac:dyDescent="0.25">
      <c r="AF12" s="21"/>
      <c r="AG12" s="21"/>
      <c r="AH12" s="21" t="s">
        <v>110</v>
      </c>
      <c r="AI12" s="21">
        <f>'P J P L G'!U35</f>
        <v>775</v>
      </c>
      <c r="AJ12" s="21" t="s">
        <v>19</v>
      </c>
    </row>
    <row r="13" spans="6:36" x14ac:dyDescent="0.25">
      <c r="AF13" s="21"/>
      <c r="AG13" s="21"/>
      <c r="AH13" s="21" t="s">
        <v>109</v>
      </c>
      <c r="AI13" s="21">
        <f>'P J P L G'!U37</f>
        <v>820</v>
      </c>
      <c r="AJ13" s="21" t="s">
        <v>19</v>
      </c>
    </row>
    <row r="14" spans="6:36" x14ac:dyDescent="0.25">
      <c r="AF14" s="21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21">
        <f>'P J P L G'!V28</f>
        <v>10192</v>
      </c>
      <c r="AG15" s="21">
        <v>1</v>
      </c>
      <c r="AH15" s="21" t="str">
        <f>'P J P L G'!W28</f>
        <v>Laufschiene, Aluminium, eloxiert, geloch, 2000 mm</v>
      </c>
      <c r="AI15" s="21"/>
      <c r="AJ15" s="21"/>
    </row>
    <row r="16" spans="6:36" x14ac:dyDescent="0.25">
      <c r="AF16" s="21">
        <f>'P J P L G'!V31</f>
        <v>25207</v>
      </c>
      <c r="AG16" s="21">
        <v>1</v>
      </c>
      <c r="AH16" s="21" t="str">
        <f>'P J P L G'!W31</f>
        <v>Set für montier- und demontierbare Laufschiene 2035 mm</v>
      </c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21">
        <f>IF('P J P L G'!D29="Ja",Daten!L22,0)</f>
        <v>25370</v>
      </c>
      <c r="AG18" s="21">
        <f>IF('P J P L G'!D29="Ja",1,0)</f>
        <v>1</v>
      </c>
      <c r="AH18" s="21" t="str">
        <f>IF('P J P L G'!D29="Ja",Daten!M22,0)</f>
        <v>Federpuffer für Hawa Junior 80/100</v>
      </c>
      <c r="AI18" s="21"/>
      <c r="AJ18" s="21"/>
    </row>
    <row r="19" spans="32:36" x14ac:dyDescent="0.25">
      <c r="AF19" s="21"/>
      <c r="AG19" s="21"/>
      <c r="AH19" s="21"/>
      <c r="AI19" s="21"/>
      <c r="AJ19" s="21"/>
    </row>
    <row r="20" spans="32:36" x14ac:dyDescent="0.25">
      <c r="AF20" s="21"/>
      <c r="AG20" s="21"/>
      <c r="AH20" s="21"/>
      <c r="AI20" s="21"/>
      <c r="AJ20" s="21"/>
    </row>
    <row r="48" spans="3:5" x14ac:dyDescent="0.25">
      <c r="C48" s="16" t="s">
        <v>59</v>
      </c>
      <c r="D48" s="17">
        <f>'P J P L G'!U27</f>
        <v>1568</v>
      </c>
      <c r="E48" s="18" t="s">
        <v>19</v>
      </c>
    </row>
    <row r="49" spans="3:21" ht="6" customHeight="1" x14ac:dyDescent="0.25"/>
    <row r="51" spans="3:21" ht="6" customHeight="1" x14ac:dyDescent="0.25"/>
    <row r="52" spans="3:21" x14ac:dyDescent="0.25">
      <c r="C52" s="16" t="s">
        <v>56</v>
      </c>
      <c r="D52" s="17">
        <f>'P J P L G'!D11</f>
        <v>750</v>
      </c>
      <c r="E52" s="18" t="s">
        <v>19</v>
      </c>
      <c r="S52" s="16" t="s">
        <v>58</v>
      </c>
      <c r="T52" s="17">
        <f>'P J P L G'!D24</f>
        <v>6</v>
      </c>
      <c r="U52" s="18" t="s">
        <v>19</v>
      </c>
    </row>
    <row r="53" spans="3:21" ht="6" customHeight="1" x14ac:dyDescent="0.25"/>
    <row r="54" spans="3:21" x14ac:dyDescent="0.25">
      <c r="C54" s="16" t="s">
        <v>68</v>
      </c>
      <c r="D54" s="17">
        <f>'P J P L G'!U13</f>
        <v>800</v>
      </c>
      <c r="E54" s="18" t="s">
        <v>19</v>
      </c>
    </row>
    <row r="55" spans="3:21" ht="6" customHeight="1" x14ac:dyDescent="0.25"/>
    <row r="56" spans="3:21" x14ac:dyDescent="0.25">
      <c r="C56" s="16" t="s">
        <v>134</v>
      </c>
      <c r="D56" s="17">
        <f>D54+72</f>
        <v>872</v>
      </c>
      <c r="E56" s="18" t="s">
        <v>19</v>
      </c>
    </row>
    <row r="63" spans="3:21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073E3618-A868-42DF-B702-A30ABFE7D320}"/>
    <hyperlink ref="C73:D74" location="'P J P L G'!A1" display="Zurück" xr:uid="{1C7C597A-E29C-45C8-BC6C-42B063915D3A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B8B9-891D-4C81-91AA-EC0DE5079741}">
  <dimension ref="B3:X48"/>
  <sheetViews>
    <sheetView zoomScale="85" zoomScaleNormal="85" workbookViewId="0">
      <selection activeCell="D20" sqref="D20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174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D13-52-6-10</f>
        <v>1432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1.1456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28.64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ht="15" customHeight="1" x14ac:dyDescent="0.25">
      <c r="B19" s="1" t="s">
        <v>112</v>
      </c>
      <c r="D19" s="34">
        <v>120</v>
      </c>
      <c r="E19" s="1" t="s">
        <v>19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6" t="s">
        <v>47</v>
      </c>
      <c r="V19" s="5"/>
      <c r="W19" s="5"/>
    </row>
    <row r="20" spans="2:23" ht="15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/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52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D23" s="24">
        <v>30</v>
      </c>
      <c r="E23" s="1" t="s">
        <v>19</v>
      </c>
      <c r="F23" s="1" t="s">
        <v>132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D25+17</f>
        <v>23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D11+50</f>
        <v>800</v>
      </c>
      <c r="V25" s="5" t="s">
        <v>19</v>
      </c>
      <c r="W25" s="5" t="s">
        <v>135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191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(2*U13)-D19-32</f>
        <v>1448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>
        <f>IF(U28&lt;2001,Daten!L12,IF(U28&lt;2201,Daten!L13,IF(U28&lt;2501,Daten!L14,IF(U28&lt;3001,Daten!L15,0))))</f>
        <v>10192</v>
      </c>
      <c r="W29" s="5" t="str">
        <f>IF(V29=10192,Daten!M12,IF(V29=10193,Daten!M13,IF(V29=10194,Daten!M14,IF(V29=18532,Daten!M15,"siehe Katlaog"))))</f>
        <v>Laufschiene, Aluminium, eloxiert, geloch, 2000 mm</v>
      </c>
    </row>
    <row r="30" spans="2:23" x14ac:dyDescent="0.25">
      <c r="B30" s="1" t="s">
        <v>133</v>
      </c>
      <c r="D30" s="34" t="s">
        <v>41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U28+35</f>
        <v>1483</v>
      </c>
      <c r="V30" s="5" t="s">
        <v>19</v>
      </c>
      <c r="W30" s="5" t="s">
        <v>142</v>
      </c>
    </row>
    <row r="31" spans="2:23" ht="6" customHeight="1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>
        <f>IF(U30&lt;2036,Daten!L17,IF(U30&lt;2536,Daten!L18,IF(U30&lt;3036,Daten!L19,0)))</f>
        <v>25207</v>
      </c>
      <c r="W32" s="5" t="str">
        <f>IF(V32=25207,Daten!M17,IF(V32=25371,Daten!M18,IF(V32=25441,Daten!M19,0)))</f>
        <v>Set für montier- und demontierbare Laufschiene 2035 mm</v>
      </c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6" t="s">
        <v>53</v>
      </c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U13-25</f>
        <v>775</v>
      </c>
      <c r="V36" s="5" t="s">
        <v>19</v>
      </c>
      <c r="W36" s="5" t="s">
        <v>110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0" t="s">
        <v>16</v>
      </c>
      <c r="C38" s="71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U13+20</f>
        <v>820</v>
      </c>
      <c r="V38" s="5" t="s">
        <v>19</v>
      </c>
      <c r="W38" s="5" t="s">
        <v>54</v>
      </c>
    </row>
    <row r="39" spans="2:23" x14ac:dyDescent="0.25">
      <c r="B39" s="72"/>
      <c r="C39" s="73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>
        <f>IF(U13&lt;901,Daten!F8,IF(U13&lt;1021,Daten!F9,IF(U13&lt;1151,Daten!F10,IF(U13&lt;1271,Daten!F11,Daten!F12))))</f>
        <v>30437</v>
      </c>
      <c r="W40" s="5" t="str">
        <f>IF(V40=30437,Daten!G8,IF(V40=30439,Daten!G9,IF(V40=30441,Daten!G10,IF(V40=30443,Daten!G11,Daten!G12))))</f>
        <v>Hawa Acoustics XS links</v>
      </c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</row>
    <row r="42" spans="2:23" ht="23.25" x14ac:dyDescent="0.35">
      <c r="B42" s="72"/>
      <c r="C42" s="73"/>
      <c r="F42" s="28"/>
      <c r="J42" s="10"/>
      <c r="K42" s="11"/>
      <c r="L42" s="11"/>
      <c r="M42" s="11"/>
      <c r="N42" s="11"/>
      <c r="O42" s="11"/>
      <c r="P42" s="11"/>
      <c r="Q42" s="11"/>
      <c r="R42" s="12"/>
      <c r="S42" s="11"/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</row>
    <row r="48" spans="2:23" x14ac:dyDescent="0.25">
      <c r="J48" s="19"/>
    </row>
  </sheetData>
  <sheetProtection sheet="1" objects="1" scenarios="1"/>
  <mergeCells count="8">
    <mergeCell ref="B41:C42"/>
    <mergeCell ref="B3:M5"/>
    <mergeCell ref="B7:M7"/>
    <mergeCell ref="B9:F9"/>
    <mergeCell ref="B21:F21"/>
    <mergeCell ref="B28:F28"/>
    <mergeCell ref="B38:C39"/>
    <mergeCell ref="E38:F39"/>
  </mergeCells>
  <conditionalFormatting sqref="H17">
    <cfRule type="expression" dxfId="10" priority="1">
      <formula>$H$17&gt;100</formula>
    </cfRule>
  </conditionalFormatting>
  <dataValidations count="8">
    <dataValidation type="whole" allowBlank="1" showInputMessage="1" showErrorMessage="1" errorTitle="Falsches Mass" error="Muss zwischen 750 und 1250 mm sein" sqref="D11" xr:uid="{F4FD60A5-4897-47CB-8221-92B75AD78404}">
      <formula1>750</formula1>
      <formula2>1250</formula2>
    </dataValidation>
    <dataValidation type="whole" allowBlank="1" showInputMessage="1" showErrorMessage="1" errorTitle="Flasches Mass" error="Muss zwischen 1500 und 2550 mm sein" sqref="D13" xr:uid="{B316745E-8279-4E0F-AD86-C44442433293}">
      <formula1>1500</formula1>
      <formula2>2550</formula2>
    </dataValidation>
    <dataValidation type="whole" allowBlank="1" showInputMessage="1" showErrorMessage="1" errorTitle="Flasches Mass" error="Muss zwischen 44 und 50 mm sein" sqref="D15" xr:uid="{F7353458-CDEB-4741-9278-8997925FF262}">
      <formula1>44</formula1>
      <formula2>50</formula2>
    </dataValidation>
    <dataValidation allowBlank="1" showInputMessage="1" showErrorMessage="1" errorTitle="Flasches Mass" error="Muss zwischen 44 und 50 mm sein" sqref="D17" xr:uid="{73A58392-4955-46F9-8929-91A38EFE51BD}"/>
    <dataValidation type="whole" allowBlank="1" showInputMessage="1" showErrorMessage="1" errorTitle="Falsches Mass" error="Muss zwischen 750 und 1250 mm sein" sqref="D26" xr:uid="{0F02A902-0670-4544-B463-B4C87C4D5234}">
      <formula1>6</formula1>
      <formula2>25</formula2>
    </dataValidation>
    <dataValidation type="whole" allowBlank="1" showInputMessage="1" showErrorMessage="1" errorTitle="Falsches Mass" error="Muss zwischen 6 und 25 mm sein" sqref="D25" xr:uid="{41AF4CEB-7550-42E1-AD66-223A191A7624}">
      <formula1>6</formula1>
      <formula2>25</formula2>
    </dataValidation>
    <dataValidation type="whole" operator="greaterThan" allowBlank="1" showInputMessage="1" showErrorMessage="1" errorTitle="Flasches Mass" error="Muss min. 120 mm sein" sqref="D20" xr:uid="{382A19FA-42C7-4D49-9FCF-9A2D45B83D23}">
      <formula1>119</formula1>
    </dataValidation>
    <dataValidation operator="greaterThan" allowBlank="1" showInputMessage="1" showErrorMessage="1" errorTitle="Flasches Mass" error="Muss min. 120 mm sein" sqref="D19" xr:uid="{873BCF2A-29E5-4F64-87CE-E576D9D431BC}"/>
  </dataValidations>
  <hyperlinks>
    <hyperlink ref="B41:C42" location="Startseite!A1" display="Home" xr:uid="{6D591397-4662-4441-8C78-1BA6BE6425B7}"/>
    <hyperlink ref="B38:C39" location="'Art J P '!A1" display="Zurück" xr:uid="{23C3F898-5458-4BDD-8660-032FA0225073}"/>
    <hyperlink ref="E38:F39" location="'14'!A1" display="Zum Plan " xr:uid="{9D726E25-F4C7-4AA6-A93A-C4518371D8F3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3844CECD-4399-4C96-955F-E8878259CCE8}">
          <x14:formula1>
            <xm:f>Daten!$B$2:$B$3</xm:f>
          </x14:formula1>
          <xm:sqref>D30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B9C6-90E4-418B-BEFA-797356CDC8F2}">
  <sheetPr>
    <pageSetUpPr fitToPage="1"/>
  </sheetPr>
  <dimension ref="C2:AJ77"/>
  <sheetViews>
    <sheetView zoomScale="70" zoomScaleNormal="70" workbookViewId="0">
      <selection activeCell="AK83" sqref="AK83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1.42578125" style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J P L T '!U23</f>
        <v>23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J P L T 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J P L T '!U11</f>
        <v>1432</v>
      </c>
      <c r="I10" s="18" t="s">
        <v>19</v>
      </c>
      <c r="AF10" s="21">
        <f>Daten!F2</f>
        <v>30427</v>
      </c>
      <c r="AG10" s="21">
        <v>1</v>
      </c>
      <c r="AH10" s="21" t="str">
        <f>Daten!G2</f>
        <v>Garnitur Junior 100</v>
      </c>
      <c r="AI10" s="21"/>
      <c r="AJ10" s="21"/>
    </row>
    <row r="11" spans="6:36" x14ac:dyDescent="0.25">
      <c r="AF11" s="21">
        <f>'P J P L T '!V40</f>
        <v>30437</v>
      </c>
      <c r="AG11" s="21">
        <v>1</v>
      </c>
      <c r="AH11" s="21" t="str">
        <f>'P J P L T '!W40</f>
        <v>Hawa Acoustics XS links</v>
      </c>
      <c r="AI11" s="21"/>
      <c r="AJ11" s="21"/>
    </row>
    <row r="12" spans="6:36" x14ac:dyDescent="0.25">
      <c r="AF12" s="21"/>
      <c r="AG12" s="21"/>
      <c r="AH12" s="21" t="s">
        <v>110</v>
      </c>
      <c r="AI12" s="21">
        <f>'P J P L T '!U36</f>
        <v>775</v>
      </c>
      <c r="AJ12" s="21" t="s">
        <v>19</v>
      </c>
    </row>
    <row r="13" spans="6:36" x14ac:dyDescent="0.25">
      <c r="AF13" s="21"/>
      <c r="AG13" s="21"/>
      <c r="AH13" s="21" t="s">
        <v>109</v>
      </c>
      <c r="AI13" s="21">
        <f>'P J P L T '!U38</f>
        <v>820</v>
      </c>
      <c r="AJ13" s="21" t="s">
        <v>19</v>
      </c>
    </row>
    <row r="14" spans="6:36" x14ac:dyDescent="0.25">
      <c r="AF14" s="21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21">
        <f>'P J P L T '!V29</f>
        <v>10192</v>
      </c>
      <c r="AG15" s="21">
        <v>1</v>
      </c>
      <c r="AH15" s="21" t="str">
        <f>'P J P L T '!W29</f>
        <v>Laufschiene, Aluminium, eloxiert, geloch, 2000 mm</v>
      </c>
      <c r="AI15" s="21"/>
      <c r="AJ15" s="21"/>
    </row>
    <row r="16" spans="6:36" x14ac:dyDescent="0.25">
      <c r="AF16" s="21">
        <f>'P J P L T '!V32</f>
        <v>25207</v>
      </c>
      <c r="AG16" s="21">
        <v>1</v>
      </c>
      <c r="AH16" s="21" t="str">
        <f>'P J P L T '!W32</f>
        <v>Set für montier- und demontierbare Laufschiene 2035 mm</v>
      </c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21">
        <f>IF('P J P L T '!D30="Ja",Daten!L22,0)</f>
        <v>0</v>
      </c>
      <c r="AG18" s="21">
        <f>IF('P J P L T '!D30="Ja",1,0)</f>
        <v>0</v>
      </c>
      <c r="AH18" s="21">
        <f>IF('P J P L T '!D30="Ja",Daten!M22,0)</f>
        <v>0</v>
      </c>
      <c r="AI18" s="21"/>
      <c r="AJ18" s="21"/>
    </row>
    <row r="19" spans="32:36" x14ac:dyDescent="0.25">
      <c r="AF19" s="21"/>
      <c r="AG19" s="21"/>
      <c r="AH19" s="21"/>
      <c r="AI19" s="21"/>
      <c r="AJ19" s="21"/>
    </row>
    <row r="20" spans="32:36" x14ac:dyDescent="0.25">
      <c r="AF20" s="21"/>
      <c r="AG20" s="21"/>
      <c r="AH20" s="21"/>
      <c r="AI20" s="21"/>
      <c r="AJ20" s="21"/>
    </row>
    <row r="48" spans="3:5" x14ac:dyDescent="0.25">
      <c r="C48" s="16" t="s">
        <v>59</v>
      </c>
      <c r="D48" s="17">
        <f>'P J P L T '!U28</f>
        <v>1448</v>
      </c>
      <c r="E48" s="18" t="s">
        <v>19</v>
      </c>
    </row>
    <row r="49" spans="3:21" ht="6" customHeight="1" x14ac:dyDescent="0.25"/>
    <row r="51" spans="3:21" ht="6" customHeight="1" x14ac:dyDescent="0.25"/>
    <row r="52" spans="3:21" x14ac:dyDescent="0.25">
      <c r="C52" s="16" t="s">
        <v>56</v>
      </c>
      <c r="D52" s="17">
        <f>'P J P L T '!D11</f>
        <v>750</v>
      </c>
      <c r="E52" s="18" t="s">
        <v>19</v>
      </c>
      <c r="S52" s="16" t="s">
        <v>58</v>
      </c>
      <c r="T52" s="17">
        <f>'P J P L T '!D25</f>
        <v>6</v>
      </c>
      <c r="U52" s="18" t="s">
        <v>19</v>
      </c>
    </row>
    <row r="53" spans="3:21" ht="6" customHeight="1" x14ac:dyDescent="0.25"/>
    <row r="54" spans="3:21" x14ac:dyDescent="0.25">
      <c r="C54" s="16" t="s">
        <v>68</v>
      </c>
      <c r="D54" s="17">
        <f>'P J P L T '!U13</f>
        <v>800</v>
      </c>
      <c r="E54" s="18" t="s">
        <v>19</v>
      </c>
    </row>
    <row r="55" spans="3:21" ht="6" customHeight="1" x14ac:dyDescent="0.25"/>
    <row r="56" spans="3:21" x14ac:dyDescent="0.25">
      <c r="C56" s="16" t="s">
        <v>134</v>
      </c>
      <c r="D56" s="17">
        <f>D54+72-'P J P L T '!$D$19</f>
        <v>752</v>
      </c>
      <c r="E56" s="18" t="s">
        <v>19</v>
      </c>
    </row>
    <row r="63" spans="3:21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6062559A-91F3-4A6D-A502-A2CA6519B5E6}"/>
    <hyperlink ref="C73:D74" location="'P J P L T '!A1" display="Zurück" xr:uid="{9B59A39C-711C-44F1-8589-4DE5885A9AF2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FC31-26C1-4627-94BA-1BACC846B518}">
  <dimension ref="B3:X47"/>
  <sheetViews>
    <sheetView zoomScale="85" zoomScaleNormal="85" workbookViewId="0">
      <selection activeCell="B37" sqref="B37:C38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175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D13-52-6-10</f>
        <v>1432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1.1456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28.64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ht="30" customHeight="1" x14ac:dyDescent="0.25"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6" t="s">
        <v>47</v>
      </c>
      <c r="V19" s="5"/>
      <c r="W19" s="5"/>
    </row>
    <row r="20" spans="2:23" x14ac:dyDescent="0.25">
      <c r="B20" s="126" t="s">
        <v>28</v>
      </c>
      <c r="C20" s="127"/>
      <c r="D20" s="127"/>
      <c r="E20" s="127"/>
      <c r="F20" s="128"/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>
        <v>52</v>
      </c>
      <c r="V20" s="5" t="s">
        <v>19</v>
      </c>
      <c r="W20" s="5" t="s">
        <v>2</v>
      </c>
    </row>
    <row r="21" spans="2:23" ht="6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B22" s="1" t="s">
        <v>30</v>
      </c>
      <c r="D22" s="24">
        <v>30</v>
      </c>
      <c r="E22" s="1" t="s">
        <v>19</v>
      </c>
      <c r="F22" s="1" t="s">
        <v>132</v>
      </c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f>D24+17</f>
        <v>23</v>
      </c>
      <c r="V22" s="5" t="s">
        <v>19</v>
      </c>
      <c r="W22" s="5" t="s">
        <v>67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2</v>
      </c>
      <c r="C24" s="1" t="s">
        <v>33</v>
      </c>
      <c r="D24" s="34">
        <v>6</v>
      </c>
      <c r="E24" s="1" t="s">
        <v>19</v>
      </c>
      <c r="F24" s="1" t="s">
        <v>32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D11+50</f>
        <v>800</v>
      </c>
      <c r="V24" s="5" t="s">
        <v>19</v>
      </c>
      <c r="W24" s="5" t="s">
        <v>135</v>
      </c>
    </row>
    <row r="25" spans="2:23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6" t="s">
        <v>49</v>
      </c>
      <c r="V26" s="5"/>
      <c r="W26" s="5"/>
    </row>
    <row r="27" spans="2:23" x14ac:dyDescent="0.25">
      <c r="B27" s="126" t="s">
        <v>191</v>
      </c>
      <c r="C27" s="127"/>
      <c r="D27" s="127"/>
      <c r="E27" s="127"/>
      <c r="F27" s="128"/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(2*U13)-32</f>
        <v>1568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>
        <f>IF(U27&lt;2001,Daten!L12,IF(U27&lt;2201,Daten!L13,IF(U27&lt;2501,Daten!L14,IF(U27&lt;3001,Daten!L15,0))))</f>
        <v>10192</v>
      </c>
      <c r="W28" s="5" t="str">
        <f>IF(V28=10192,Daten!M12,IF(V28=10193,Daten!M13,IF(V28=10194,Daten!M14,IF(V28=18532,Daten!M15,"siehe Katlaog"))))</f>
        <v>Laufschiene, Aluminium, eloxiert, geloch, 2000 mm</v>
      </c>
    </row>
    <row r="29" spans="2:23" x14ac:dyDescent="0.25">
      <c r="B29" s="1" t="s">
        <v>133</v>
      </c>
      <c r="D29" s="34" t="s">
        <v>41</v>
      </c>
      <c r="F29" s="1" t="s">
        <v>39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U27+35</f>
        <v>1603</v>
      </c>
      <c r="V29" s="5" t="s">
        <v>19</v>
      </c>
      <c r="W29" s="5" t="s">
        <v>142</v>
      </c>
    </row>
    <row r="30" spans="2:23" ht="6" customHeight="1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>
        <f>IF(U29&lt;2036,Daten!L17,IF(U29&lt;2536,Daten!L18,IF(U29&lt;3036,Daten!L19,0)))</f>
        <v>25207</v>
      </c>
      <c r="W31" s="5" t="str">
        <f>IF(V31=25207,Daten!M17,IF(V31=25371,Daten!M18,IF(V31=25441,Daten!M19,0)))</f>
        <v>Set für montier- und demontierbare Laufschiene 2035 mm</v>
      </c>
    </row>
    <row r="32" spans="2:23" ht="6" customHeight="1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6" t="s">
        <v>53</v>
      </c>
      <c r="V33" s="5"/>
      <c r="W33" s="5"/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>
        <f>U13-25</f>
        <v>775</v>
      </c>
      <c r="V35" s="5" t="s">
        <v>19</v>
      </c>
      <c r="W35" s="5" t="s">
        <v>110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B37" s="70" t="s">
        <v>16</v>
      </c>
      <c r="C37" s="71"/>
      <c r="E37" s="70" t="s">
        <v>111</v>
      </c>
      <c r="F37" s="71"/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>
        <f>U13+20</f>
        <v>820</v>
      </c>
      <c r="V37" s="5" t="s">
        <v>19</v>
      </c>
      <c r="W37" s="5" t="s">
        <v>54</v>
      </c>
    </row>
    <row r="38" spans="2:23" x14ac:dyDescent="0.25">
      <c r="B38" s="72"/>
      <c r="C38" s="73"/>
      <c r="E38" s="72"/>
      <c r="F38" s="73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>
        <f>IF(U13&lt;901,Daten!I8,IF(U13&lt;1021,Daten!I9,IF(U13&lt;1151,Daten!I10,IF(U13&lt;1271,Daten!I11,Daten!I12))))</f>
        <v>30436</v>
      </c>
      <c r="W39" s="5" t="str">
        <f>IF(V39=30436,Daten!J8,IF(V39=30438,Daten!J9,IF(V39=30440,Daten!J10,IF(V39=30442,Daten!J11,Daten!J12))))</f>
        <v xml:space="preserve">Hawa Acoustics XS rechts </v>
      </c>
    </row>
    <row r="40" spans="2:23" ht="6" customHeight="1" x14ac:dyDescent="0.25">
      <c r="B40" s="70" t="s">
        <v>8</v>
      </c>
      <c r="C40" s="71"/>
      <c r="J40" s="10"/>
      <c r="K40" s="11"/>
      <c r="L40" s="11"/>
      <c r="M40" s="11"/>
      <c r="N40" s="11"/>
      <c r="O40" s="11"/>
      <c r="P40" s="11"/>
      <c r="Q40" s="11"/>
      <c r="R40" s="12"/>
      <c r="S40" s="11"/>
    </row>
    <row r="41" spans="2:23" x14ac:dyDescent="0.25">
      <c r="B41" s="72"/>
      <c r="C41" s="73"/>
      <c r="J41" s="10"/>
      <c r="K41" s="11"/>
      <c r="L41" s="11"/>
      <c r="M41" s="11"/>
      <c r="N41" s="11"/>
      <c r="O41" s="11"/>
      <c r="P41" s="11"/>
      <c r="Q41" s="11"/>
      <c r="R41" s="12"/>
      <c r="S41" s="11"/>
    </row>
    <row r="42" spans="2:23" ht="6" customHeight="1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ht="6" customHeight="1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x14ac:dyDescent="0.25">
      <c r="J45" s="13"/>
      <c r="K45" s="14"/>
      <c r="L45" s="14"/>
      <c r="M45" s="14"/>
      <c r="N45" s="14"/>
      <c r="O45" s="14"/>
      <c r="P45" s="14"/>
      <c r="Q45" s="14"/>
      <c r="R45" s="15"/>
      <c r="S45" s="11"/>
    </row>
    <row r="47" spans="2:23" x14ac:dyDescent="0.25">
      <c r="J47" s="19"/>
    </row>
  </sheetData>
  <sheetProtection sheet="1" objects="1" scenarios="1"/>
  <mergeCells count="8">
    <mergeCell ref="B40:C41"/>
    <mergeCell ref="B3:M5"/>
    <mergeCell ref="B7:M7"/>
    <mergeCell ref="B9:F9"/>
    <mergeCell ref="B20:F20"/>
    <mergeCell ref="B27:F27"/>
    <mergeCell ref="B37:C38"/>
    <mergeCell ref="E37:F38"/>
  </mergeCells>
  <conditionalFormatting sqref="H17">
    <cfRule type="expression" dxfId="9" priority="1">
      <formula>$H$17&gt;100</formula>
    </cfRule>
  </conditionalFormatting>
  <dataValidations count="6">
    <dataValidation type="whole" allowBlank="1" showInputMessage="1" showErrorMessage="1" errorTitle="Falsches Mass" error="Muss zwischen 750 und 1250 mm sein" sqref="D11" xr:uid="{3625A3FB-6809-468C-80C1-22B31D27D077}">
      <formula1>750</formula1>
      <formula2>1250</formula2>
    </dataValidation>
    <dataValidation type="whole" allowBlank="1" showInputMessage="1" showErrorMessage="1" errorTitle="Flasches Mass" error="Muss zwischen 1500 und 2550 mm sein" sqref="D13" xr:uid="{3617FC38-FA2C-4A08-B593-F496ECFBB4A1}">
      <formula1>1500</formula1>
      <formula2>2550</formula2>
    </dataValidation>
    <dataValidation type="whole" allowBlank="1" showInputMessage="1" showErrorMessage="1" errorTitle="Flasches Mass" error="Muss zwischen 44 und 50 mm sein" sqref="D15" xr:uid="{1D337E16-E8F8-4628-B0FB-D683E8206E61}">
      <formula1>44</formula1>
      <formula2>50</formula2>
    </dataValidation>
    <dataValidation allowBlank="1" showInputMessage="1" showErrorMessage="1" errorTitle="Flasches Mass" error="Muss zwischen 44 und 50 mm sein" sqref="D17" xr:uid="{66744206-B180-45F6-BFC7-71EE07A1D045}"/>
    <dataValidation type="whole" allowBlank="1" showInputMessage="1" showErrorMessage="1" errorTitle="Falsches Mass" error="Muss zwischen 750 und 1250 mm sein" sqref="D25" xr:uid="{EB4CA079-D6F5-4C20-9640-F56245BDB813}">
      <formula1>6</formula1>
      <formula2>25</formula2>
    </dataValidation>
    <dataValidation type="whole" allowBlank="1" showInputMessage="1" showErrorMessage="1" errorTitle="Falsches Mass" error="Muss zwischen 6 und 25 mm sein" sqref="D24" xr:uid="{9FB4A323-9639-41CC-B306-9E94AAEE78A3}">
      <formula1>6</formula1>
      <formula2>25</formula2>
    </dataValidation>
  </dataValidations>
  <hyperlinks>
    <hyperlink ref="B40:C41" location="Startseite!A1" display="Home" xr:uid="{7947E9B9-6594-4CAF-BA97-3FB7BF39A9DE}"/>
    <hyperlink ref="B37:C38" location="'Art J P '!A1" display="Zurück" xr:uid="{F0D70847-BB0E-40C0-875E-EF7CB9FE35A0}"/>
    <hyperlink ref="E37:F38" location="'15'!A1" display="Zum Plan " xr:uid="{7E322AF4-03EE-4C2C-963D-66A417FE9079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7E2E069B-85E7-487F-B006-EACADF32A918}">
          <x14:formula1>
            <xm:f>Daten!$B$2:$B$3</xm:f>
          </x14:formula1>
          <xm:sqref>D29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E2EC-5446-4E73-B764-3F82D91DD51E}">
  <sheetPr>
    <pageSetUpPr fitToPage="1"/>
  </sheetPr>
  <dimension ref="C2:AJ77"/>
  <sheetViews>
    <sheetView zoomScale="70" zoomScaleNormal="70" workbookViewId="0">
      <selection activeCell="AK82" sqref="AK82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1.42578125" style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J P R G'!U22</f>
        <v>23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J P R G'!D13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J P R G'!U11</f>
        <v>1432</v>
      </c>
      <c r="I10" s="18" t="s">
        <v>19</v>
      </c>
      <c r="AF10" s="21">
        <f>Daten!F2</f>
        <v>30427</v>
      </c>
      <c r="AG10" s="21">
        <v>1</v>
      </c>
      <c r="AH10" s="21" t="str">
        <f>Daten!G2</f>
        <v>Garnitur Junior 100</v>
      </c>
      <c r="AI10" s="21"/>
      <c r="AJ10" s="21"/>
    </row>
    <row r="11" spans="6:36" x14ac:dyDescent="0.25">
      <c r="AF11" s="21">
        <f>'P J P R G'!V39</f>
        <v>30436</v>
      </c>
      <c r="AG11" s="21">
        <v>1</v>
      </c>
      <c r="AH11" s="21" t="str">
        <f>'P J P R G'!W39</f>
        <v xml:space="preserve">Hawa Acoustics XS rechts </v>
      </c>
      <c r="AI11" s="21"/>
      <c r="AJ11" s="21"/>
    </row>
    <row r="12" spans="6:36" x14ac:dyDescent="0.25">
      <c r="AF12" s="21"/>
      <c r="AG12" s="21"/>
      <c r="AH12" s="21" t="s">
        <v>110</v>
      </c>
      <c r="AI12" s="21">
        <f>'P J P R G'!U35</f>
        <v>775</v>
      </c>
      <c r="AJ12" s="21" t="s">
        <v>19</v>
      </c>
    </row>
    <row r="13" spans="6:36" x14ac:dyDescent="0.25">
      <c r="AF13" s="21"/>
      <c r="AG13" s="21"/>
      <c r="AH13" s="21" t="s">
        <v>109</v>
      </c>
      <c r="AI13" s="21">
        <f>'P J P R G'!U37</f>
        <v>820</v>
      </c>
      <c r="AJ13" s="21" t="s">
        <v>19</v>
      </c>
    </row>
    <row r="14" spans="6:36" x14ac:dyDescent="0.25">
      <c r="AF14" s="21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21">
        <f>'P J P R G'!V28</f>
        <v>10192</v>
      </c>
      <c r="AG15" s="21">
        <v>1</v>
      </c>
      <c r="AH15" s="21" t="str">
        <f>'P J P R G'!W28</f>
        <v>Laufschiene, Aluminium, eloxiert, geloch, 2000 mm</v>
      </c>
      <c r="AI15" s="21"/>
      <c r="AJ15" s="21"/>
    </row>
    <row r="16" spans="6:36" x14ac:dyDescent="0.25">
      <c r="AF16" s="21">
        <f>'P J P R G'!V31</f>
        <v>25207</v>
      </c>
      <c r="AG16" s="21">
        <v>1</v>
      </c>
      <c r="AH16" s="21" t="str">
        <f>'P J P R G'!W31</f>
        <v>Set für montier- und demontierbare Laufschiene 2035 mm</v>
      </c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21">
        <f>IF('P J P R G'!D29="Ja",Daten!L22,0)</f>
        <v>0</v>
      </c>
      <c r="AG18" s="21">
        <f>IF('P J P R G'!D29="Ja",1,0)</f>
        <v>0</v>
      </c>
      <c r="AH18" s="21">
        <f>IF('P J P R G'!D29="Ja",Daten!M22,0)</f>
        <v>0</v>
      </c>
      <c r="AI18" s="21"/>
      <c r="AJ18" s="21"/>
    </row>
    <row r="19" spans="32:36" x14ac:dyDescent="0.25">
      <c r="AF19" s="21"/>
      <c r="AG19" s="21"/>
      <c r="AH19" s="21"/>
      <c r="AI19" s="21"/>
      <c r="AJ19" s="21"/>
    </row>
    <row r="20" spans="32:36" x14ac:dyDescent="0.25">
      <c r="AF20" s="21"/>
      <c r="AG20" s="21"/>
      <c r="AH20" s="21"/>
      <c r="AI20" s="21"/>
      <c r="AJ20" s="21"/>
    </row>
    <row r="48" spans="3:5" x14ac:dyDescent="0.25">
      <c r="C48" s="16" t="s">
        <v>59</v>
      </c>
      <c r="D48" s="17">
        <f>'P J P R G'!U27</f>
        <v>1568</v>
      </c>
      <c r="E48" s="18" t="s">
        <v>19</v>
      </c>
    </row>
    <row r="49" spans="3:22" ht="6" customHeight="1" x14ac:dyDescent="0.25"/>
    <row r="51" spans="3:22" ht="6" customHeight="1" x14ac:dyDescent="0.25"/>
    <row r="52" spans="3:22" x14ac:dyDescent="0.25">
      <c r="C52" s="16" t="s">
        <v>56</v>
      </c>
      <c r="D52" s="17">
        <f>'P J P R G'!D11</f>
        <v>750</v>
      </c>
      <c r="E52" s="18" t="s">
        <v>19</v>
      </c>
      <c r="T52" s="16" t="s">
        <v>58</v>
      </c>
      <c r="U52" s="17">
        <f>'P J P R G'!D24</f>
        <v>6</v>
      </c>
      <c r="V52" s="18" t="s">
        <v>19</v>
      </c>
    </row>
    <row r="53" spans="3:22" ht="6" customHeight="1" x14ac:dyDescent="0.25"/>
    <row r="54" spans="3:22" x14ac:dyDescent="0.25">
      <c r="C54" s="16" t="s">
        <v>68</v>
      </c>
      <c r="D54" s="17">
        <f>'P J P R G'!U13</f>
        <v>800</v>
      </c>
      <c r="E54" s="18" t="s">
        <v>19</v>
      </c>
    </row>
    <row r="55" spans="3:22" ht="6" customHeight="1" x14ac:dyDescent="0.25"/>
    <row r="56" spans="3:22" x14ac:dyDescent="0.25">
      <c r="C56" s="16" t="s">
        <v>134</v>
      </c>
      <c r="D56" s="17">
        <f>D54+72</f>
        <v>872</v>
      </c>
      <c r="E56" s="18" t="s">
        <v>19</v>
      </c>
    </row>
    <row r="63" spans="3:22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91A3CBD4-8EA9-435B-AE6B-B0CEDE02B08D}"/>
    <hyperlink ref="C73:D74" location="'P J P R G'!A1" display="Zurück" xr:uid="{DE5351FE-E7AF-4E65-B02A-97526D454464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A4A5-8ED6-40F5-8F24-CBF754E9D7F2}">
  <dimension ref="B3:X48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176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D13-52-6-10</f>
        <v>1432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1.1456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28.64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ht="15" customHeight="1" x14ac:dyDescent="0.25">
      <c r="B19" s="1" t="s">
        <v>112</v>
      </c>
      <c r="D19" s="34">
        <v>120</v>
      </c>
      <c r="E19" s="1" t="s">
        <v>19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6" t="s">
        <v>47</v>
      </c>
      <c r="V19" s="5"/>
      <c r="W19" s="5"/>
    </row>
    <row r="20" spans="2:23" ht="15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/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52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D23" s="24">
        <v>30</v>
      </c>
      <c r="E23" s="1" t="s">
        <v>19</v>
      </c>
      <c r="F23" s="1" t="s">
        <v>132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D25+17</f>
        <v>23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D11+50</f>
        <v>800</v>
      </c>
      <c r="V25" s="5" t="s">
        <v>19</v>
      </c>
      <c r="W25" s="5" t="s">
        <v>135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191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(2*U13)-D19-32</f>
        <v>1448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>
        <f>IF(U28&lt;2001,Daten!L12,IF(U28&lt;2201,Daten!L13,IF(U28&lt;2501,Daten!L14,IF(U28&lt;3001,Daten!L15,0))))</f>
        <v>10192</v>
      </c>
      <c r="W29" s="5" t="str">
        <f>IF(V29=10192,Daten!M12,IF(V29=10193,Daten!M13,IF(V29=10194,Daten!M14,IF(V29=18532,Daten!M15,"siehe Katlaog"))))</f>
        <v>Laufschiene, Aluminium, eloxiert, geloch, 2000 mm</v>
      </c>
    </row>
    <row r="30" spans="2:23" x14ac:dyDescent="0.25">
      <c r="B30" s="1" t="s">
        <v>133</v>
      </c>
      <c r="D30" s="34" t="s">
        <v>41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U28+35</f>
        <v>1483</v>
      </c>
      <c r="V30" s="5" t="s">
        <v>19</v>
      </c>
      <c r="W30" s="5" t="s">
        <v>142</v>
      </c>
    </row>
    <row r="31" spans="2:23" ht="6" customHeight="1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>
        <f>IF(U30&lt;2036,Daten!L17,IF(U30&lt;2536,Daten!L18,IF(U30&lt;3036,Daten!L19,0)))</f>
        <v>25207</v>
      </c>
      <c r="W32" s="5" t="str">
        <f>IF(V32=25207,Daten!M17,IF(V32=25371,Daten!M18,IF(V32=25441,Daten!M19,0)))</f>
        <v>Set für montier- und demontierbare Laufschiene 2035 mm</v>
      </c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6" t="s">
        <v>53</v>
      </c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U13-25</f>
        <v>775</v>
      </c>
      <c r="V36" s="5" t="s">
        <v>19</v>
      </c>
      <c r="W36" s="5" t="s">
        <v>110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0" t="s">
        <v>16</v>
      </c>
      <c r="C38" s="71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U13+20</f>
        <v>820</v>
      </c>
      <c r="V38" s="5" t="s">
        <v>19</v>
      </c>
      <c r="W38" s="5" t="s">
        <v>54</v>
      </c>
    </row>
    <row r="39" spans="2:23" x14ac:dyDescent="0.25">
      <c r="B39" s="72"/>
      <c r="C39" s="73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>
        <f>IF(U13&lt;901,Daten!I8,IF(U13&lt;1021,Daten!I9,IF(U13&lt;1151,Daten!I10,IF(U13&lt;1271,Daten!I11,Daten!I12))))</f>
        <v>30436</v>
      </c>
      <c r="W40" s="5" t="str">
        <f>IF(V40=30436,Daten!J8,IF(V40=30438,Daten!J9,IF(V40=30440,Daten!J10,IF(V40=30442,Daten!J11,Daten!J12))))</f>
        <v xml:space="preserve">Hawa Acoustics XS rechts </v>
      </c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</row>
    <row r="42" spans="2:23" ht="23.25" x14ac:dyDescent="0.35">
      <c r="B42" s="72"/>
      <c r="C42" s="73"/>
      <c r="F42" s="28"/>
      <c r="J42" s="10"/>
      <c r="K42" s="11"/>
      <c r="L42" s="11"/>
      <c r="M42" s="11"/>
      <c r="N42" s="11"/>
      <c r="O42" s="11"/>
      <c r="P42" s="11"/>
      <c r="Q42" s="11"/>
      <c r="R42" s="12"/>
      <c r="S42" s="11"/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</row>
    <row r="48" spans="2:23" x14ac:dyDescent="0.25">
      <c r="J48" s="19"/>
    </row>
  </sheetData>
  <sheetProtection sheet="1" objects="1" scenarios="1"/>
  <mergeCells count="8">
    <mergeCell ref="B41:C42"/>
    <mergeCell ref="B3:M5"/>
    <mergeCell ref="B7:M7"/>
    <mergeCell ref="B9:F9"/>
    <mergeCell ref="B21:F21"/>
    <mergeCell ref="B28:F28"/>
    <mergeCell ref="B38:C39"/>
    <mergeCell ref="E38:F39"/>
  </mergeCells>
  <conditionalFormatting sqref="H17">
    <cfRule type="expression" dxfId="8" priority="1">
      <formula>$H$17&gt;100</formula>
    </cfRule>
  </conditionalFormatting>
  <dataValidations count="8">
    <dataValidation type="whole" operator="greaterThan" allowBlank="1" showInputMessage="1" showErrorMessage="1" errorTitle="Flasches Mass" error="Muss min. 120 mm sein" sqref="D20" xr:uid="{5DEFBA88-C9B7-4E5F-BB45-B72A6B33EF7A}">
      <formula1>119</formula1>
    </dataValidation>
    <dataValidation type="whole" allowBlank="1" showInputMessage="1" showErrorMessage="1" errorTitle="Falsches Mass" error="Muss zwischen 6 und 25 mm sein" sqref="D25" xr:uid="{B9C6F748-245F-480E-9EFC-085B02B52B56}">
      <formula1>6</formula1>
      <formula2>25</formula2>
    </dataValidation>
    <dataValidation type="whole" allowBlank="1" showInputMessage="1" showErrorMessage="1" errorTitle="Falsches Mass" error="Muss zwischen 750 und 1250 mm sein" sqref="D26" xr:uid="{DB0DA173-E2B1-4FDF-A53F-1AC54C83C755}">
      <formula1>6</formula1>
      <formula2>25</formula2>
    </dataValidation>
    <dataValidation allowBlank="1" showInputMessage="1" showErrorMessage="1" errorTitle="Flasches Mass" error="Muss zwischen 44 und 50 mm sein" sqref="D17" xr:uid="{D6EDA6DC-48D1-4EBF-9665-1B364949AD8E}"/>
    <dataValidation type="whole" allowBlank="1" showInputMessage="1" showErrorMessage="1" errorTitle="Flasches Mass" error="Muss zwischen 44 und 50 mm sein" sqref="D15" xr:uid="{E364B6AC-F7C5-4D26-9183-D8BDB69A7BED}">
      <formula1>44</formula1>
      <formula2>50</formula2>
    </dataValidation>
    <dataValidation type="whole" allowBlank="1" showInputMessage="1" showErrorMessage="1" errorTitle="Flasches Mass" error="Muss zwischen 1500 und 2550 mm sein" sqref="D13" xr:uid="{B6481E18-CC33-4EF9-A276-F59D89F91E69}">
      <formula1>1500</formula1>
      <formula2>2550</formula2>
    </dataValidation>
    <dataValidation type="whole" allowBlank="1" showInputMessage="1" showErrorMessage="1" errorTitle="Falsches Mass" error="Muss zwischen 750 und 1250 mm sein" sqref="D11" xr:uid="{77AB5D7D-88EC-4222-99F8-03B074A71F1C}">
      <formula1>750</formula1>
      <formula2>1250</formula2>
    </dataValidation>
    <dataValidation operator="greaterThan" allowBlank="1" showInputMessage="1" showErrorMessage="1" errorTitle="Flasches Mass" error="Muss min. 120 mm sein" sqref="D19" xr:uid="{CD77DC68-77A1-49D3-A423-02BD5C350571}"/>
  </dataValidations>
  <hyperlinks>
    <hyperlink ref="B41:C42" location="Startseite!A1" display="Home" xr:uid="{A764777C-2AD4-45E1-A084-507F0331929E}"/>
    <hyperlink ref="B38:C39" location="'Art J P '!A1" display="Zurück" xr:uid="{5B3FC048-C136-4B1E-80B2-AD38EBB4FBB9}"/>
    <hyperlink ref="E38:F39" location="'16'!A1" display="Zum Plan " xr:uid="{6459F203-73D1-4FA4-902D-541A3A88C7E1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14384204-2820-4FEE-BFFF-063EFBC16804}">
          <x14:formula1>
            <xm:f>Daten!$B$2:$B$3</xm:f>
          </x14:formula1>
          <xm:sqref>D30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EA86-F593-4AE6-87C7-0D966D6170DF}">
  <sheetPr>
    <pageSetUpPr fitToPage="1"/>
  </sheetPr>
  <dimension ref="C2:AJ77"/>
  <sheetViews>
    <sheetView zoomScale="70" zoomScaleNormal="70" workbookViewId="0">
      <selection activeCell="B2" sqref="B2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1.42578125" style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J P R T'!U23</f>
        <v>23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J P R T'!D13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J P R T'!U11</f>
        <v>1432</v>
      </c>
      <c r="I10" s="18" t="s">
        <v>19</v>
      </c>
      <c r="AF10" s="21">
        <f>Daten!F2</f>
        <v>30427</v>
      </c>
      <c r="AG10" s="21">
        <v>1</v>
      </c>
      <c r="AH10" s="21" t="str">
        <f>Daten!G2</f>
        <v>Garnitur Junior 100</v>
      </c>
      <c r="AI10" s="21"/>
      <c r="AJ10" s="21"/>
    </row>
    <row r="11" spans="6:36" x14ac:dyDescent="0.25">
      <c r="AF11" s="21">
        <f>'P J P R T'!V40</f>
        <v>30436</v>
      </c>
      <c r="AG11" s="21">
        <v>1</v>
      </c>
      <c r="AH11" s="21" t="str">
        <f>'P J P R T'!W40</f>
        <v xml:space="preserve">Hawa Acoustics XS rechts </v>
      </c>
      <c r="AI11" s="21"/>
      <c r="AJ11" s="21"/>
    </row>
    <row r="12" spans="6:36" x14ac:dyDescent="0.25">
      <c r="AF12" s="21"/>
      <c r="AG12" s="21"/>
      <c r="AH12" s="21" t="s">
        <v>110</v>
      </c>
      <c r="AI12" s="21">
        <f>'P J P R T'!U36</f>
        <v>775</v>
      </c>
      <c r="AJ12" s="21" t="s">
        <v>19</v>
      </c>
    </row>
    <row r="13" spans="6:36" x14ac:dyDescent="0.25">
      <c r="AF13" s="21"/>
      <c r="AG13" s="21"/>
      <c r="AH13" s="21" t="s">
        <v>109</v>
      </c>
      <c r="AI13" s="21">
        <f>'P J P R T'!U38</f>
        <v>820</v>
      </c>
      <c r="AJ13" s="21" t="s">
        <v>19</v>
      </c>
    </row>
    <row r="14" spans="6:36" x14ac:dyDescent="0.25">
      <c r="AF14" s="21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21">
        <f>'P J P R T'!V29</f>
        <v>10192</v>
      </c>
      <c r="AG15" s="21">
        <v>1</v>
      </c>
      <c r="AH15" s="21" t="str">
        <f>'P J P R T'!W29</f>
        <v>Laufschiene, Aluminium, eloxiert, geloch, 2000 mm</v>
      </c>
      <c r="AI15" s="21"/>
      <c r="AJ15" s="21"/>
    </row>
    <row r="16" spans="6:36" x14ac:dyDescent="0.25">
      <c r="AF16" s="21">
        <f>'P J P R T'!V32</f>
        <v>25207</v>
      </c>
      <c r="AG16" s="21">
        <v>1</v>
      </c>
      <c r="AH16" s="21" t="str">
        <f>'P J P R T'!W32</f>
        <v>Set für montier- und demontierbare Laufschiene 2035 mm</v>
      </c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21">
        <f>IF('P J P R T'!D30="Ja",Daten!L22,0)</f>
        <v>0</v>
      </c>
      <c r="AG18" s="21">
        <f>IF('P J P R T'!D30="Ja",1,0)</f>
        <v>0</v>
      </c>
      <c r="AH18" s="21">
        <f>IF('P J P R T'!D30="Ja",Daten!M22,0)</f>
        <v>0</v>
      </c>
      <c r="AI18" s="21"/>
      <c r="AJ18" s="21"/>
    </row>
    <row r="19" spans="32:36" x14ac:dyDescent="0.25">
      <c r="AF19" s="21"/>
      <c r="AG19" s="21"/>
      <c r="AH19" s="21"/>
      <c r="AI19" s="21"/>
      <c r="AJ19" s="21"/>
    </row>
    <row r="20" spans="32:36" x14ac:dyDescent="0.25">
      <c r="AF20" s="21"/>
      <c r="AG20" s="21"/>
      <c r="AH20" s="21"/>
      <c r="AI20" s="21"/>
      <c r="AJ20" s="21"/>
    </row>
    <row r="48" spans="3:5" x14ac:dyDescent="0.25">
      <c r="C48" s="16" t="s">
        <v>59</v>
      </c>
      <c r="D48" s="17">
        <f>'P J P R T'!U28</f>
        <v>1448</v>
      </c>
      <c r="E48" s="18" t="s">
        <v>19</v>
      </c>
    </row>
    <row r="49" spans="3:22" ht="6" customHeight="1" x14ac:dyDescent="0.25"/>
    <row r="51" spans="3:22" ht="6" customHeight="1" x14ac:dyDescent="0.25"/>
    <row r="52" spans="3:22" x14ac:dyDescent="0.25">
      <c r="C52" s="16" t="s">
        <v>56</v>
      </c>
      <c r="D52" s="17">
        <f>'P J P R T'!D11</f>
        <v>750</v>
      </c>
      <c r="E52" s="18" t="s">
        <v>19</v>
      </c>
      <c r="T52" s="16" t="s">
        <v>58</v>
      </c>
      <c r="U52" s="17">
        <f>'P J P R T'!D25</f>
        <v>6</v>
      </c>
      <c r="V52" s="18" t="s">
        <v>19</v>
      </c>
    </row>
    <row r="53" spans="3:22" ht="6" customHeight="1" x14ac:dyDescent="0.25"/>
    <row r="54" spans="3:22" x14ac:dyDescent="0.25">
      <c r="C54" s="16" t="s">
        <v>68</v>
      </c>
      <c r="D54" s="17">
        <f>'P J P R T'!U13</f>
        <v>800</v>
      </c>
      <c r="E54" s="18" t="s">
        <v>19</v>
      </c>
    </row>
    <row r="55" spans="3:22" ht="6" customHeight="1" x14ac:dyDescent="0.25"/>
    <row r="56" spans="3:22" x14ac:dyDescent="0.25">
      <c r="C56" s="16" t="s">
        <v>134</v>
      </c>
      <c r="D56" s="17">
        <f>D54+72-'P J P R T'!$D$19</f>
        <v>752</v>
      </c>
      <c r="E56" s="18" t="s">
        <v>19</v>
      </c>
    </row>
    <row r="63" spans="3:22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CD6FF69F-0176-4CAA-88E4-A697CAD15B15}"/>
    <hyperlink ref="C73:D74" location="'P J P R T'!A1" display="Zurück" xr:uid="{34496B01-91AF-4EBE-B8F9-CB28A0CD2DF3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418A-5395-4521-8F08-80A7AFA706F4}">
  <sheetPr>
    <tabColor theme="3" tint="0.79998168889431442"/>
  </sheetPr>
  <dimension ref="B3:L24"/>
  <sheetViews>
    <sheetView zoomScale="85" zoomScaleNormal="85" workbookViewId="0"/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4" spans="2:12" x14ac:dyDescent="0.25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10"/>
    </row>
    <row r="5" spans="2:12" x14ac:dyDescent="0.2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3"/>
    </row>
    <row r="7" spans="2:12" ht="18.75" x14ac:dyDescent="0.3">
      <c r="B7" s="114" t="s">
        <v>118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99" t="s">
        <v>12</v>
      </c>
      <c r="C9" s="100"/>
      <c r="E9" s="99" t="s">
        <v>13</v>
      </c>
      <c r="F9" s="100"/>
      <c r="H9" s="99" t="s">
        <v>14</v>
      </c>
      <c r="I9" s="100"/>
      <c r="K9" s="99" t="s">
        <v>15</v>
      </c>
      <c r="L9" s="100"/>
    </row>
    <row r="10" spans="2:12" x14ac:dyDescent="0.25">
      <c r="B10" s="101"/>
      <c r="C10" s="102"/>
      <c r="E10" s="101"/>
      <c r="F10" s="102"/>
      <c r="H10" s="101"/>
      <c r="I10" s="102"/>
      <c r="K10" s="101"/>
      <c r="L10" s="102"/>
    </row>
    <row r="11" spans="2:12" x14ac:dyDescent="0.25">
      <c r="B11" s="101"/>
      <c r="C11" s="102"/>
      <c r="E11" s="101"/>
      <c r="F11" s="102"/>
      <c r="H11" s="101"/>
      <c r="I11" s="102"/>
      <c r="K11" s="101"/>
      <c r="L11" s="102"/>
    </row>
    <row r="12" spans="2:12" x14ac:dyDescent="0.25">
      <c r="B12" s="101"/>
      <c r="C12" s="102"/>
      <c r="E12" s="101"/>
      <c r="F12" s="102"/>
      <c r="H12" s="101"/>
      <c r="I12" s="102"/>
      <c r="K12" s="101"/>
      <c r="L12" s="102"/>
    </row>
    <row r="13" spans="2:12" x14ac:dyDescent="0.25">
      <c r="B13" s="101"/>
      <c r="C13" s="102"/>
      <c r="E13" s="101"/>
      <c r="F13" s="102"/>
      <c r="H13" s="101"/>
      <c r="I13" s="102"/>
      <c r="K13" s="101"/>
      <c r="L13" s="102"/>
    </row>
    <row r="14" spans="2:12" x14ac:dyDescent="0.25">
      <c r="B14" s="101"/>
      <c r="C14" s="102"/>
      <c r="E14" s="101"/>
      <c r="F14" s="102"/>
      <c r="H14" s="101"/>
      <c r="I14" s="102"/>
      <c r="K14" s="101"/>
      <c r="L14" s="102"/>
    </row>
    <row r="15" spans="2:12" x14ac:dyDescent="0.25">
      <c r="B15" s="101"/>
      <c r="C15" s="102"/>
      <c r="E15" s="101"/>
      <c r="F15" s="102"/>
      <c r="H15" s="101"/>
      <c r="I15" s="102"/>
      <c r="K15" s="101"/>
      <c r="L15" s="102"/>
    </row>
    <row r="16" spans="2:12" x14ac:dyDescent="0.25">
      <c r="B16" s="101"/>
      <c r="C16" s="102"/>
      <c r="E16" s="101"/>
      <c r="F16" s="102"/>
      <c r="H16" s="101"/>
      <c r="I16" s="102"/>
      <c r="K16" s="101"/>
      <c r="L16" s="102"/>
    </row>
    <row r="17" spans="2:12" x14ac:dyDescent="0.25">
      <c r="B17" s="101"/>
      <c r="C17" s="102"/>
      <c r="E17" s="101"/>
      <c r="F17" s="102"/>
      <c r="H17" s="101"/>
      <c r="I17" s="102"/>
      <c r="K17" s="101"/>
      <c r="L17" s="102"/>
    </row>
    <row r="18" spans="2:12" x14ac:dyDescent="0.25">
      <c r="B18" s="103"/>
      <c r="C18" s="104"/>
      <c r="E18" s="103"/>
      <c r="F18" s="104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K9:L18"/>
    <mergeCell ref="B3:L5"/>
    <mergeCell ref="B7:L7"/>
    <mergeCell ref="B20:C21"/>
    <mergeCell ref="B23:C24"/>
    <mergeCell ref="B9:C18"/>
    <mergeCell ref="E9:F18"/>
    <mergeCell ref="H9:I18"/>
  </mergeCells>
  <hyperlinks>
    <hyperlink ref="B23:C24" location="Startseite!A1" display="Home" xr:uid="{1041CDFB-5CCC-4FE1-9DA8-CBB63B916667}"/>
    <hyperlink ref="B20:C21" location="'Situation J'!A1" display="Zurück" xr:uid="{97D3571D-BE2A-4351-AE50-6AF23A848A75}"/>
    <hyperlink ref="B9:C18" location="'P J N L G'!A1" display="'P J N L G'!A1" xr:uid="{BF1B9EF1-FEA8-4148-B39C-5FE2922BE2F9}"/>
    <hyperlink ref="E9:F18" location="'P J N L T'!A1" display="'P J N L T'!A1" xr:uid="{5F1A2163-CBE4-4557-B7D6-441C13BDCEC1}"/>
    <hyperlink ref="H9:I18" location="'P J N R G '!A1" display="'P J N R G '!A1" xr:uid="{4124E84A-7A01-48C8-BF90-1DCE1F080A0D}"/>
    <hyperlink ref="K9:L18" location="'P J N R T '!A1" display="'P J N R T '!A1" xr:uid="{E70CB942-C13B-41ED-A6FB-7892FDE18682}"/>
  </hyperlinks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CF8C-DA9F-4805-9430-A3570BAF0D3A}">
  <dimension ref="B1:Q36"/>
  <sheetViews>
    <sheetView zoomScale="85" zoomScaleNormal="85" workbookViewId="0">
      <selection activeCell="J27" sqref="J27"/>
    </sheetView>
  </sheetViews>
  <sheetFormatPr baseColWidth="10" defaultRowHeight="15" x14ac:dyDescent="0.25"/>
  <cols>
    <col min="1" max="6" width="11.42578125" style="37"/>
    <col min="7" max="7" width="27.140625" style="37" customWidth="1"/>
    <col min="8" max="9" width="11.42578125" style="37"/>
    <col min="10" max="10" width="33.28515625" style="37" customWidth="1"/>
    <col min="11" max="12" width="11.42578125" style="37"/>
    <col min="13" max="13" width="45.140625" style="37" customWidth="1"/>
    <col min="14" max="16384" width="11.42578125" style="37"/>
  </cols>
  <sheetData>
    <row r="1" spans="2:15" x14ac:dyDescent="0.25">
      <c r="B1" s="37" t="s">
        <v>74</v>
      </c>
      <c r="F1" s="37" t="s">
        <v>75</v>
      </c>
      <c r="L1" s="37" t="s">
        <v>91</v>
      </c>
    </row>
    <row r="2" spans="2:15" x14ac:dyDescent="0.25">
      <c r="B2" s="37" t="s">
        <v>40</v>
      </c>
      <c r="F2" s="36">
        <v>30427</v>
      </c>
      <c r="G2" s="38" t="s">
        <v>76</v>
      </c>
      <c r="L2" s="36">
        <v>27673</v>
      </c>
      <c r="M2" s="38" t="s">
        <v>192</v>
      </c>
      <c r="N2" s="37" t="s">
        <v>0</v>
      </c>
      <c r="O2" s="37" t="s">
        <v>136</v>
      </c>
    </row>
    <row r="3" spans="2:15" x14ac:dyDescent="0.25">
      <c r="B3" s="37" t="s">
        <v>41</v>
      </c>
      <c r="F3" s="36">
        <v>30430</v>
      </c>
      <c r="G3" s="38" t="s">
        <v>77</v>
      </c>
      <c r="L3" s="36">
        <v>30323</v>
      </c>
      <c r="M3" s="38" t="s">
        <v>193</v>
      </c>
      <c r="N3" s="37" t="s">
        <v>0</v>
      </c>
      <c r="O3" s="37" t="s">
        <v>136</v>
      </c>
    </row>
    <row r="4" spans="2:15" x14ac:dyDescent="0.25">
      <c r="F4" s="36">
        <v>30431</v>
      </c>
      <c r="G4" s="38" t="s">
        <v>78</v>
      </c>
      <c r="L4" s="36">
        <v>27672</v>
      </c>
      <c r="M4" s="38" t="s">
        <v>194</v>
      </c>
      <c r="N4" s="37" t="s">
        <v>0</v>
      </c>
      <c r="O4" s="37" t="s">
        <v>136</v>
      </c>
    </row>
    <row r="5" spans="2:15" x14ac:dyDescent="0.25">
      <c r="L5" s="36">
        <v>30434</v>
      </c>
      <c r="M5" s="38" t="s">
        <v>92</v>
      </c>
      <c r="N5" s="37" t="s">
        <v>0</v>
      </c>
    </row>
    <row r="6" spans="2:15" x14ac:dyDescent="0.25">
      <c r="B6" s="37" t="s">
        <v>153</v>
      </c>
      <c r="L6" s="36">
        <v>30435</v>
      </c>
      <c r="M6" s="38" t="s">
        <v>93</v>
      </c>
      <c r="N6" s="37" t="s">
        <v>0</v>
      </c>
    </row>
    <row r="7" spans="2:15" x14ac:dyDescent="0.25">
      <c r="B7" s="37" t="s">
        <v>154</v>
      </c>
      <c r="F7" s="37" t="s">
        <v>79</v>
      </c>
      <c r="I7" s="37" t="s">
        <v>87</v>
      </c>
    </row>
    <row r="8" spans="2:15" x14ac:dyDescent="0.25">
      <c r="D8" s="37" t="s">
        <v>94</v>
      </c>
      <c r="E8" s="37" t="s">
        <v>95</v>
      </c>
      <c r="F8" s="36">
        <v>30437</v>
      </c>
      <c r="G8" s="38" t="s">
        <v>80</v>
      </c>
      <c r="I8" s="36">
        <v>30436</v>
      </c>
      <c r="J8" s="38" t="s">
        <v>88</v>
      </c>
      <c r="L8" s="36">
        <v>27689</v>
      </c>
      <c r="M8" s="38" t="s">
        <v>105</v>
      </c>
      <c r="N8" s="37" t="s">
        <v>0</v>
      </c>
    </row>
    <row r="9" spans="2:15" x14ac:dyDescent="0.25">
      <c r="E9" s="37" t="s">
        <v>96</v>
      </c>
      <c r="F9" s="36">
        <v>30439</v>
      </c>
      <c r="G9" s="38" t="s">
        <v>201</v>
      </c>
      <c r="I9" s="36">
        <v>30438</v>
      </c>
      <c r="J9" s="38" t="s">
        <v>81</v>
      </c>
      <c r="L9" s="36">
        <v>30328</v>
      </c>
      <c r="M9" s="38" t="s">
        <v>106</v>
      </c>
      <c r="N9" s="37" t="s">
        <v>0</v>
      </c>
    </row>
    <row r="10" spans="2:15" x14ac:dyDescent="0.25">
      <c r="E10" s="37" t="s">
        <v>97</v>
      </c>
      <c r="F10" s="36">
        <v>30441</v>
      </c>
      <c r="G10" s="38" t="s">
        <v>83</v>
      </c>
      <c r="I10" s="36">
        <v>30440</v>
      </c>
      <c r="J10" s="38" t="s">
        <v>82</v>
      </c>
      <c r="L10" s="36">
        <v>27688</v>
      </c>
      <c r="M10" s="38" t="s">
        <v>107</v>
      </c>
      <c r="N10" s="37" t="s">
        <v>0</v>
      </c>
    </row>
    <row r="11" spans="2:15" x14ac:dyDescent="0.25">
      <c r="E11" s="37" t="s">
        <v>98</v>
      </c>
      <c r="F11" s="36">
        <v>30443</v>
      </c>
      <c r="G11" s="38" t="s">
        <v>85</v>
      </c>
      <c r="I11" s="36">
        <v>30442</v>
      </c>
      <c r="J11" s="38" t="s">
        <v>84</v>
      </c>
    </row>
    <row r="12" spans="2:15" x14ac:dyDescent="0.25">
      <c r="E12" s="37" t="s">
        <v>99</v>
      </c>
      <c r="F12" s="36">
        <v>30445</v>
      </c>
      <c r="G12" s="38" t="s">
        <v>202</v>
      </c>
      <c r="I12" s="36">
        <v>30444</v>
      </c>
      <c r="J12" s="38" t="s">
        <v>86</v>
      </c>
      <c r="L12" s="36">
        <v>10192</v>
      </c>
      <c r="M12" s="38" t="s">
        <v>203</v>
      </c>
      <c r="N12" s="37" t="s">
        <v>0</v>
      </c>
      <c r="O12" s="37" t="s">
        <v>137</v>
      </c>
    </row>
    <row r="13" spans="2:15" x14ac:dyDescent="0.25">
      <c r="L13" s="36">
        <v>10193</v>
      </c>
      <c r="M13" s="38" t="s">
        <v>205</v>
      </c>
      <c r="N13" s="37" t="s">
        <v>0</v>
      </c>
      <c r="O13" s="37" t="s">
        <v>137</v>
      </c>
    </row>
    <row r="14" spans="2:15" x14ac:dyDescent="0.25">
      <c r="L14" s="36">
        <v>10194</v>
      </c>
      <c r="M14" s="38" t="s">
        <v>204</v>
      </c>
      <c r="N14" s="37" t="s">
        <v>0</v>
      </c>
      <c r="O14" s="37" t="s">
        <v>137</v>
      </c>
    </row>
    <row r="15" spans="2:15" x14ac:dyDescent="0.25">
      <c r="F15" s="37" t="s">
        <v>89</v>
      </c>
      <c r="L15" s="36">
        <v>18532</v>
      </c>
      <c r="M15" s="38" t="s">
        <v>206</v>
      </c>
      <c r="N15" s="37" t="s">
        <v>0</v>
      </c>
      <c r="O15" s="37" t="s">
        <v>137</v>
      </c>
    </row>
    <row r="16" spans="2:15" ht="22.5" x14ac:dyDescent="0.25">
      <c r="F16" s="36">
        <v>30300</v>
      </c>
      <c r="G16" s="38" t="s">
        <v>90</v>
      </c>
    </row>
    <row r="17" spans="12:17" ht="17.25" customHeight="1" x14ac:dyDescent="0.25">
      <c r="L17" s="36">
        <v>25207</v>
      </c>
      <c r="M17" s="38" t="s">
        <v>139</v>
      </c>
      <c r="N17" s="37" t="s">
        <v>0</v>
      </c>
      <c r="O17" s="37" t="s">
        <v>138</v>
      </c>
    </row>
    <row r="18" spans="12:17" x14ac:dyDescent="0.25">
      <c r="L18" s="36">
        <v>25371</v>
      </c>
      <c r="M18" s="38" t="s">
        <v>140</v>
      </c>
      <c r="N18" s="37" t="s">
        <v>0</v>
      </c>
      <c r="O18" s="37" t="s">
        <v>138</v>
      </c>
    </row>
    <row r="19" spans="12:17" x14ac:dyDescent="0.25">
      <c r="L19" s="36">
        <v>25441</v>
      </c>
      <c r="M19" s="38" t="s">
        <v>141</v>
      </c>
      <c r="N19" s="37" t="s">
        <v>0</v>
      </c>
      <c r="O19" s="37" t="s">
        <v>138</v>
      </c>
    </row>
    <row r="22" spans="12:17" x14ac:dyDescent="0.25">
      <c r="L22" s="36">
        <v>25370</v>
      </c>
      <c r="M22" s="38" t="s">
        <v>143</v>
      </c>
      <c r="N22" s="37" t="s">
        <v>0</v>
      </c>
      <c r="O22" s="37" t="s">
        <v>138</v>
      </c>
    </row>
    <row r="24" spans="12:17" x14ac:dyDescent="0.25">
      <c r="L24" s="36" t="s">
        <v>155</v>
      </c>
      <c r="M24" s="39" t="s">
        <v>157</v>
      </c>
      <c r="N24" s="40" t="s">
        <v>1</v>
      </c>
      <c r="O24" s="40" t="s">
        <v>136</v>
      </c>
      <c r="P24" s="41"/>
      <c r="Q24" s="41"/>
    </row>
    <row r="25" spans="12:17" x14ac:dyDescent="0.25">
      <c r="L25" s="36" t="s">
        <v>156</v>
      </c>
      <c r="M25" s="39" t="s">
        <v>158</v>
      </c>
      <c r="N25" s="40" t="s">
        <v>1</v>
      </c>
      <c r="O25" s="40" t="s">
        <v>136</v>
      </c>
      <c r="P25" s="41"/>
      <c r="Q25" s="41"/>
    </row>
    <row r="26" spans="12:17" x14ac:dyDescent="0.25">
      <c r="M26" s="41"/>
      <c r="N26" s="41"/>
      <c r="O26" s="41"/>
      <c r="P26" s="41"/>
      <c r="Q26" s="41"/>
    </row>
    <row r="27" spans="12:17" x14ac:dyDescent="0.25">
      <c r="L27" s="36" t="s">
        <v>159</v>
      </c>
      <c r="M27" s="39" t="s">
        <v>161</v>
      </c>
      <c r="N27" s="40" t="s">
        <v>1</v>
      </c>
      <c r="O27" s="40" t="s">
        <v>136</v>
      </c>
      <c r="P27" s="41"/>
      <c r="Q27" s="41"/>
    </row>
    <row r="28" spans="12:17" x14ac:dyDescent="0.25">
      <c r="L28" s="36" t="s">
        <v>160</v>
      </c>
      <c r="M28" s="39" t="s">
        <v>169</v>
      </c>
      <c r="N28" s="40" t="s">
        <v>1</v>
      </c>
      <c r="O28" s="40" t="s">
        <v>136</v>
      </c>
      <c r="P28" s="41"/>
      <c r="Q28" s="41"/>
    </row>
    <row r="30" spans="12:17" x14ac:dyDescent="0.25">
      <c r="L30" s="36">
        <v>30485</v>
      </c>
      <c r="M30" s="39" t="s">
        <v>163</v>
      </c>
      <c r="N30" s="40" t="s">
        <v>1</v>
      </c>
      <c r="O30" s="40" t="s">
        <v>136</v>
      </c>
    </row>
    <row r="32" spans="12:17" x14ac:dyDescent="0.25">
      <c r="L32" s="36" t="s">
        <v>178</v>
      </c>
      <c r="M32" s="39" t="s">
        <v>180</v>
      </c>
      <c r="N32" s="40" t="s">
        <v>1</v>
      </c>
      <c r="O32" s="40" t="s">
        <v>138</v>
      </c>
    </row>
    <row r="33" spans="12:15" x14ac:dyDescent="0.25">
      <c r="L33" s="36" t="s">
        <v>179</v>
      </c>
      <c r="M33" s="39" t="s">
        <v>181</v>
      </c>
      <c r="N33" s="40" t="s">
        <v>1</v>
      </c>
      <c r="O33" s="40" t="s">
        <v>138</v>
      </c>
    </row>
    <row r="35" spans="12:15" x14ac:dyDescent="0.25">
      <c r="L35" s="36">
        <v>27760</v>
      </c>
      <c r="M35" s="39" t="s">
        <v>185</v>
      </c>
      <c r="N35" s="40" t="s">
        <v>184</v>
      </c>
      <c r="O35" s="40" t="s">
        <v>138</v>
      </c>
    </row>
    <row r="36" spans="12:15" x14ac:dyDescent="0.25">
      <c r="L36" s="36" t="s">
        <v>182</v>
      </c>
      <c r="M36" s="39" t="s">
        <v>183</v>
      </c>
      <c r="N36" s="40" t="s">
        <v>184</v>
      </c>
      <c r="O36" s="40" t="s">
        <v>138</v>
      </c>
    </row>
  </sheetData>
  <sheetProtection sheet="1" objects="1" scenarios="1"/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E80B-DFFC-448C-9B39-1462CDC52744}">
  <dimension ref="B3:H25"/>
  <sheetViews>
    <sheetView zoomScale="85" zoomScaleNormal="85" workbookViewId="0"/>
  </sheetViews>
  <sheetFormatPr baseColWidth="10" defaultRowHeight="15" x14ac:dyDescent="0.25"/>
  <cols>
    <col min="1" max="3" width="11.42578125" style="1"/>
    <col min="4" max="4" width="19.85546875" style="1" customWidth="1"/>
    <col min="5" max="7" width="11.42578125" style="1"/>
    <col min="8" max="8" width="20.85546875" style="1" customWidth="1"/>
    <col min="9" max="16384" width="11.42578125" style="1"/>
  </cols>
  <sheetData>
    <row r="3" spans="2:8" x14ac:dyDescent="0.25">
      <c r="B3" s="61"/>
      <c r="C3" s="62"/>
      <c r="D3" s="62"/>
      <c r="E3" s="62"/>
      <c r="F3" s="62"/>
      <c r="G3" s="62"/>
      <c r="H3" s="63"/>
    </row>
    <row r="4" spans="2:8" x14ac:dyDescent="0.25">
      <c r="B4" s="64"/>
      <c r="C4" s="65"/>
      <c r="D4" s="65"/>
      <c r="E4" s="65"/>
      <c r="F4" s="65"/>
      <c r="G4" s="65"/>
      <c r="H4" s="66"/>
    </row>
    <row r="5" spans="2:8" x14ac:dyDescent="0.25">
      <c r="B5" s="67"/>
      <c r="C5" s="68"/>
      <c r="D5" s="68"/>
      <c r="E5" s="68"/>
      <c r="F5" s="68"/>
      <c r="G5" s="68"/>
      <c r="H5" s="69"/>
    </row>
    <row r="7" spans="2:8" x14ac:dyDescent="0.25">
      <c r="B7" s="83" t="s">
        <v>4</v>
      </c>
      <c r="C7" s="84"/>
      <c r="D7" s="85"/>
      <c r="F7" s="83" t="s">
        <v>5</v>
      </c>
      <c r="G7" s="84"/>
      <c r="H7" s="85"/>
    </row>
    <row r="9" spans="2:8" x14ac:dyDescent="0.25">
      <c r="B9" s="89" t="s">
        <v>151</v>
      </c>
      <c r="C9" s="90"/>
      <c r="D9" s="91"/>
      <c r="F9" s="89" t="s">
        <v>152</v>
      </c>
      <c r="G9" s="90"/>
      <c r="H9" s="91"/>
    </row>
    <row r="10" spans="2:8" x14ac:dyDescent="0.25">
      <c r="B10" s="92"/>
      <c r="C10" s="93"/>
      <c r="D10" s="94"/>
      <c r="F10" s="92"/>
      <c r="G10" s="93"/>
      <c r="H10" s="94"/>
    </row>
    <row r="11" spans="2:8" x14ac:dyDescent="0.25">
      <c r="B11" s="92"/>
      <c r="C11" s="93"/>
      <c r="D11" s="94"/>
      <c r="F11" s="92"/>
      <c r="G11" s="93"/>
      <c r="H11" s="94"/>
    </row>
    <row r="12" spans="2:8" x14ac:dyDescent="0.25">
      <c r="B12" s="92"/>
      <c r="C12" s="93"/>
      <c r="D12" s="94"/>
      <c r="F12" s="92"/>
      <c r="G12" s="93"/>
      <c r="H12" s="94"/>
    </row>
    <row r="13" spans="2:8" x14ac:dyDescent="0.25">
      <c r="B13" s="92"/>
      <c r="C13" s="93"/>
      <c r="D13" s="94"/>
      <c r="F13" s="92"/>
      <c r="G13" s="93"/>
      <c r="H13" s="94"/>
    </row>
    <row r="14" spans="2:8" x14ac:dyDescent="0.25">
      <c r="B14" s="92"/>
      <c r="C14" s="93"/>
      <c r="D14" s="94"/>
      <c r="F14" s="92"/>
      <c r="G14" s="93"/>
      <c r="H14" s="94"/>
    </row>
    <row r="15" spans="2:8" x14ac:dyDescent="0.25">
      <c r="B15" s="92"/>
      <c r="C15" s="93"/>
      <c r="D15" s="94"/>
      <c r="F15" s="92"/>
      <c r="G15" s="93"/>
      <c r="H15" s="94"/>
    </row>
    <row r="16" spans="2:8" x14ac:dyDescent="0.25">
      <c r="B16" s="92"/>
      <c r="C16" s="93"/>
      <c r="D16" s="94"/>
      <c r="F16" s="92"/>
      <c r="G16" s="93"/>
      <c r="H16" s="94"/>
    </row>
    <row r="17" spans="2:8" x14ac:dyDescent="0.25">
      <c r="B17" s="92"/>
      <c r="C17" s="93"/>
      <c r="D17" s="94"/>
      <c r="F17" s="92"/>
      <c r="G17" s="93"/>
      <c r="H17" s="94"/>
    </row>
    <row r="18" spans="2:8" x14ac:dyDescent="0.25">
      <c r="B18" s="92"/>
      <c r="C18" s="93"/>
      <c r="D18" s="94"/>
      <c r="F18" s="92"/>
      <c r="G18" s="93"/>
      <c r="H18" s="94"/>
    </row>
    <row r="19" spans="2:8" x14ac:dyDescent="0.25">
      <c r="B19" s="92"/>
      <c r="C19" s="93"/>
      <c r="D19" s="94"/>
      <c r="F19" s="92"/>
      <c r="G19" s="93"/>
      <c r="H19" s="94"/>
    </row>
    <row r="20" spans="2:8" x14ac:dyDescent="0.25">
      <c r="B20" s="92"/>
      <c r="C20" s="93"/>
      <c r="D20" s="94"/>
      <c r="F20" s="92"/>
      <c r="G20" s="93"/>
      <c r="H20" s="94"/>
    </row>
    <row r="21" spans="2:8" ht="44.25" customHeight="1" x14ac:dyDescent="0.25">
      <c r="B21" s="95"/>
      <c r="C21" s="96"/>
      <c r="D21" s="97"/>
      <c r="F21" s="95"/>
      <c r="G21" s="96"/>
      <c r="H21" s="97"/>
    </row>
    <row r="24" spans="2:8" x14ac:dyDescent="0.25">
      <c r="B24" s="70" t="s">
        <v>8</v>
      </c>
      <c r="C24" s="71"/>
    </row>
    <row r="25" spans="2:8" x14ac:dyDescent="0.25">
      <c r="B25" s="72"/>
      <c r="C25" s="73"/>
    </row>
  </sheetData>
  <sheetProtection sheet="1" objects="1" scenarios="1"/>
  <mergeCells count="6">
    <mergeCell ref="B24:C25"/>
    <mergeCell ref="B3:H5"/>
    <mergeCell ref="B7:D7"/>
    <mergeCell ref="F7:H7"/>
    <mergeCell ref="B9:D21"/>
    <mergeCell ref="F9:H21"/>
  </mergeCells>
  <hyperlinks>
    <hyperlink ref="B24:C25" location="Startseite!A1" display="Home" xr:uid="{558D91EF-33FA-4BB5-9A53-3261BCF2CF5C}"/>
    <hyperlink ref="B9:D21" location="'Situation P'!A1" display="'Situation P'!A1" xr:uid="{5F42524A-3CBA-4D76-B5DA-F96C5BC1C6E5}"/>
    <hyperlink ref="F9:H21" location="'Art P P'!A1" display="'Art P P'!A1" xr:uid="{104932BB-4C75-4175-92F0-DD56E14864B4}"/>
  </hyperlinks>
  <pageMargins left="0.7" right="0.7" top="0.78740157499999996" bottom="0.78740157499999996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A2AE-0C21-4372-A4A1-77FA64F8EB1A}">
  <dimension ref="B3:L32"/>
  <sheetViews>
    <sheetView zoomScale="85" zoomScaleNormal="85" workbookViewId="0"/>
  </sheetViews>
  <sheetFormatPr baseColWidth="10" defaultRowHeight="15" x14ac:dyDescent="0.25"/>
  <cols>
    <col min="1" max="1" width="11.42578125" style="1"/>
    <col min="2" max="2" width="6.7109375" style="1" customWidth="1"/>
    <col min="3" max="3" width="30.7109375" style="1" customWidth="1"/>
    <col min="4" max="4" width="6.7109375" style="1" customWidth="1"/>
    <col min="5" max="5" width="11.42578125" style="1"/>
    <col min="6" max="6" width="6.7109375" style="1" customWidth="1"/>
    <col min="7" max="7" width="30.7109375" style="1" customWidth="1"/>
    <col min="8" max="8" width="6.7109375" style="1" customWidth="1"/>
    <col min="9" max="9" width="11.42578125" style="1"/>
    <col min="10" max="10" width="6.7109375" style="1" customWidth="1"/>
    <col min="11" max="11" width="30.7109375" style="1" customWidth="1"/>
    <col min="12" max="12" width="6.7109375" style="1" customWidth="1"/>
    <col min="13" max="16384" width="11.42578125" style="1"/>
  </cols>
  <sheetData>
    <row r="3" spans="2:12" x14ac:dyDescent="0.25">
      <c r="B3" s="61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2:12" x14ac:dyDescent="0.25">
      <c r="B4" s="64"/>
      <c r="C4" s="65"/>
      <c r="D4" s="65"/>
      <c r="E4" s="65"/>
      <c r="F4" s="65"/>
      <c r="G4" s="65"/>
      <c r="H4" s="65"/>
      <c r="I4" s="65"/>
      <c r="J4" s="65"/>
      <c r="K4" s="65"/>
      <c r="L4" s="66"/>
    </row>
    <row r="5" spans="2:12" x14ac:dyDescent="0.25">
      <c r="B5" s="67"/>
      <c r="C5" s="68"/>
      <c r="D5" s="68"/>
      <c r="E5" s="68"/>
      <c r="F5" s="68"/>
      <c r="G5" s="68"/>
      <c r="H5" s="68"/>
      <c r="I5" s="68"/>
      <c r="J5" s="68"/>
      <c r="K5" s="68"/>
      <c r="L5" s="69"/>
    </row>
    <row r="7" spans="2:12" ht="18.75" x14ac:dyDescent="0.3">
      <c r="B7" s="86" t="s">
        <v>11</v>
      </c>
      <c r="C7" s="87"/>
      <c r="D7" s="87"/>
      <c r="E7" s="87"/>
      <c r="F7" s="87"/>
      <c r="G7" s="87"/>
      <c r="H7" s="87"/>
      <c r="I7" s="87"/>
      <c r="J7" s="87"/>
      <c r="K7" s="87"/>
      <c r="L7" s="88"/>
    </row>
    <row r="9" spans="2:12" x14ac:dyDescent="0.25">
      <c r="B9" s="11"/>
      <c r="C9" s="11"/>
      <c r="D9" s="11"/>
    </row>
    <row r="10" spans="2:12" x14ac:dyDescent="0.25">
      <c r="B10" s="89" t="s">
        <v>144</v>
      </c>
      <c r="C10" s="90"/>
      <c r="D10" s="91"/>
      <c r="F10" s="149" t="s">
        <v>9</v>
      </c>
      <c r="G10" s="90"/>
      <c r="H10" s="91"/>
      <c r="J10" s="149" t="s">
        <v>10</v>
      </c>
      <c r="K10" s="90"/>
      <c r="L10" s="91"/>
    </row>
    <row r="11" spans="2:12" x14ac:dyDescent="0.25">
      <c r="B11" s="92"/>
      <c r="C11" s="93"/>
      <c r="D11" s="94"/>
      <c r="F11" s="92"/>
      <c r="G11" s="93"/>
      <c r="H11" s="94"/>
      <c r="J11" s="92"/>
      <c r="K11" s="93"/>
      <c r="L11" s="94"/>
    </row>
    <row r="12" spans="2:12" x14ac:dyDescent="0.25">
      <c r="B12" s="92"/>
      <c r="C12" s="93"/>
      <c r="D12" s="94"/>
      <c r="F12" s="92"/>
      <c r="G12" s="93"/>
      <c r="H12" s="94"/>
      <c r="J12" s="92"/>
      <c r="K12" s="93"/>
      <c r="L12" s="94"/>
    </row>
    <row r="13" spans="2:12" x14ac:dyDescent="0.25">
      <c r="B13" s="92"/>
      <c r="C13" s="93"/>
      <c r="D13" s="94"/>
      <c r="F13" s="92"/>
      <c r="G13" s="93"/>
      <c r="H13" s="94"/>
      <c r="J13" s="92"/>
      <c r="K13" s="93"/>
      <c r="L13" s="94"/>
    </row>
    <row r="14" spans="2:12" x14ac:dyDescent="0.25">
      <c r="B14" s="92"/>
      <c r="C14" s="93"/>
      <c r="D14" s="94"/>
      <c r="F14" s="92"/>
      <c r="G14" s="93"/>
      <c r="H14" s="94"/>
      <c r="J14" s="92"/>
      <c r="K14" s="93"/>
      <c r="L14" s="94"/>
    </row>
    <row r="15" spans="2:12" x14ac:dyDescent="0.25">
      <c r="B15" s="92"/>
      <c r="C15" s="93"/>
      <c r="D15" s="94"/>
      <c r="F15" s="92"/>
      <c r="G15" s="93"/>
      <c r="H15" s="94"/>
      <c r="J15" s="92"/>
      <c r="K15" s="93"/>
      <c r="L15" s="94"/>
    </row>
    <row r="16" spans="2:12" x14ac:dyDescent="0.25">
      <c r="B16" s="92"/>
      <c r="C16" s="93"/>
      <c r="D16" s="94"/>
      <c r="F16" s="92"/>
      <c r="G16" s="93"/>
      <c r="H16" s="94"/>
      <c r="J16" s="92"/>
      <c r="K16" s="93"/>
      <c r="L16" s="94"/>
    </row>
    <row r="17" spans="2:12" x14ac:dyDescent="0.25">
      <c r="B17" s="92"/>
      <c r="C17" s="93"/>
      <c r="D17" s="94"/>
      <c r="F17" s="92"/>
      <c r="G17" s="93"/>
      <c r="H17" s="94"/>
      <c r="J17" s="92"/>
      <c r="K17" s="93"/>
      <c r="L17" s="94"/>
    </row>
    <row r="18" spans="2:12" x14ac:dyDescent="0.25">
      <c r="B18" s="92"/>
      <c r="C18" s="93"/>
      <c r="D18" s="94"/>
      <c r="F18" s="92"/>
      <c r="G18" s="93"/>
      <c r="H18" s="94"/>
      <c r="J18" s="92"/>
      <c r="K18" s="93"/>
      <c r="L18" s="94"/>
    </row>
    <row r="19" spans="2:12" x14ac:dyDescent="0.25">
      <c r="B19" s="92"/>
      <c r="C19" s="93"/>
      <c r="D19" s="94"/>
      <c r="F19" s="92"/>
      <c r="G19" s="93"/>
      <c r="H19" s="94"/>
      <c r="J19" s="92"/>
      <c r="K19" s="93"/>
      <c r="L19" s="94"/>
    </row>
    <row r="20" spans="2:12" x14ac:dyDescent="0.25">
      <c r="B20" s="92"/>
      <c r="C20" s="93"/>
      <c r="D20" s="94"/>
      <c r="F20" s="92"/>
      <c r="G20" s="93"/>
      <c r="H20" s="94"/>
      <c r="J20" s="92"/>
      <c r="K20" s="93"/>
      <c r="L20" s="94"/>
    </row>
    <row r="21" spans="2:12" x14ac:dyDescent="0.25">
      <c r="B21" s="92"/>
      <c r="C21" s="93"/>
      <c r="D21" s="94"/>
      <c r="F21" s="92"/>
      <c r="G21" s="93"/>
      <c r="H21" s="94"/>
      <c r="J21" s="92"/>
      <c r="K21" s="93"/>
      <c r="L21" s="94"/>
    </row>
    <row r="22" spans="2:12" x14ac:dyDescent="0.25">
      <c r="B22" s="92"/>
      <c r="C22" s="93"/>
      <c r="D22" s="94"/>
      <c r="F22" s="92"/>
      <c r="G22" s="93"/>
      <c r="H22" s="94"/>
      <c r="J22" s="92"/>
      <c r="K22" s="93"/>
      <c r="L22" s="94"/>
    </row>
    <row r="23" spans="2:12" x14ac:dyDescent="0.25">
      <c r="B23" s="92"/>
      <c r="C23" s="93"/>
      <c r="D23" s="94"/>
      <c r="F23" s="92"/>
      <c r="G23" s="93"/>
      <c r="H23" s="94"/>
      <c r="J23" s="92"/>
      <c r="K23" s="93"/>
      <c r="L23" s="94"/>
    </row>
    <row r="24" spans="2:12" x14ac:dyDescent="0.25">
      <c r="B24" s="92"/>
      <c r="C24" s="93"/>
      <c r="D24" s="94"/>
      <c r="F24" s="92"/>
      <c r="G24" s="93"/>
      <c r="H24" s="94"/>
      <c r="J24" s="92"/>
      <c r="K24" s="93"/>
      <c r="L24" s="94"/>
    </row>
    <row r="25" spans="2:12" x14ac:dyDescent="0.25">
      <c r="B25" s="92"/>
      <c r="C25" s="93"/>
      <c r="D25" s="94"/>
      <c r="F25" s="92"/>
      <c r="G25" s="93"/>
      <c r="H25" s="94"/>
      <c r="J25" s="92"/>
      <c r="K25" s="93"/>
      <c r="L25" s="94"/>
    </row>
    <row r="26" spans="2:12" x14ac:dyDescent="0.25">
      <c r="B26" s="95"/>
      <c r="C26" s="96"/>
      <c r="D26" s="97"/>
      <c r="F26" s="95"/>
      <c r="G26" s="96"/>
      <c r="H26" s="97"/>
      <c r="J26" s="95"/>
      <c r="K26" s="96"/>
      <c r="L26" s="97"/>
    </row>
    <row r="28" spans="2:12" x14ac:dyDescent="0.25">
      <c r="B28" s="70" t="s">
        <v>16</v>
      </c>
      <c r="C28" s="71"/>
    </row>
    <row r="29" spans="2:12" x14ac:dyDescent="0.25">
      <c r="B29" s="72"/>
      <c r="C29" s="73"/>
    </row>
    <row r="31" spans="2:12" x14ac:dyDescent="0.25">
      <c r="B31" s="70" t="s">
        <v>8</v>
      </c>
      <c r="C31" s="71"/>
    </row>
    <row r="32" spans="2:12" x14ac:dyDescent="0.25">
      <c r="B32" s="72"/>
      <c r="C32" s="73"/>
    </row>
  </sheetData>
  <sheetProtection sheet="1" objects="1" scenarios="1"/>
  <mergeCells count="7">
    <mergeCell ref="B31:C32"/>
    <mergeCell ref="B3:L5"/>
    <mergeCell ref="B7:L7"/>
    <mergeCell ref="B10:D26"/>
    <mergeCell ref="F10:H26"/>
    <mergeCell ref="J10:L26"/>
    <mergeCell ref="B28:C29"/>
  </mergeCells>
  <hyperlinks>
    <hyperlink ref="B31:C32" location="Startseite!A1" display="Home" xr:uid="{B04A8C7E-47D9-40D4-98C3-9F5A18F3B469}"/>
    <hyperlink ref="B28:C29" location="'P P'!A1" display="Zurück" xr:uid="{36F71C5F-B58D-444B-B43D-3A02C535512D}"/>
    <hyperlink ref="B10:D26" location="'Art P N '!A1" display="'Art P N '!A1" xr:uid="{A817C380-0E08-457C-89C7-94A78688C95C}"/>
    <hyperlink ref="F10:H26" location="'Art P B '!A1" display="Detail mit Blockzarge" xr:uid="{98410540-FE51-4ADB-87D0-8DC06A2ACE96}"/>
    <hyperlink ref="J10:L26" location="'Art P U '!A1" display="Detail mit Umfassungzarge" xr:uid="{D1F9F51F-CF8D-4254-B37A-FD4FDE705DF4}"/>
  </hyperlink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A618-9236-48F0-9D7B-838463790636}">
  <sheetPr>
    <tabColor theme="4" tint="0.79998168889431442"/>
  </sheetPr>
  <dimension ref="B3:L24"/>
  <sheetViews>
    <sheetView zoomScale="85" zoomScaleNormal="85" workbookViewId="0">
      <selection activeCell="H59" sqref="H59"/>
    </sheetView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4" spans="2:12" x14ac:dyDescent="0.25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10"/>
    </row>
    <row r="5" spans="2:12" x14ac:dyDescent="0.2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3"/>
    </row>
    <row r="7" spans="2:12" ht="18.75" x14ac:dyDescent="0.3">
      <c r="B7" s="114" t="s">
        <v>118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99" t="s">
        <v>12</v>
      </c>
      <c r="C9" s="100"/>
      <c r="E9" s="99" t="s">
        <v>13</v>
      </c>
      <c r="F9" s="100"/>
      <c r="H9" s="99" t="s">
        <v>14</v>
      </c>
      <c r="I9" s="100"/>
      <c r="K9" s="99" t="s">
        <v>15</v>
      </c>
      <c r="L9" s="100"/>
    </row>
    <row r="10" spans="2:12" x14ac:dyDescent="0.25">
      <c r="B10" s="101"/>
      <c r="C10" s="102"/>
      <c r="E10" s="101"/>
      <c r="F10" s="102"/>
      <c r="H10" s="101"/>
      <c r="I10" s="102"/>
      <c r="K10" s="101"/>
      <c r="L10" s="102"/>
    </row>
    <row r="11" spans="2:12" x14ac:dyDescent="0.25">
      <c r="B11" s="101"/>
      <c r="C11" s="102"/>
      <c r="E11" s="101"/>
      <c r="F11" s="102"/>
      <c r="H11" s="101"/>
      <c r="I11" s="102"/>
      <c r="K11" s="101"/>
      <c r="L11" s="102"/>
    </row>
    <row r="12" spans="2:12" x14ac:dyDescent="0.25">
      <c r="B12" s="101"/>
      <c r="C12" s="102"/>
      <c r="E12" s="101"/>
      <c r="F12" s="102"/>
      <c r="H12" s="101"/>
      <c r="I12" s="102"/>
      <c r="K12" s="101"/>
      <c r="L12" s="102"/>
    </row>
    <row r="13" spans="2:12" x14ac:dyDescent="0.25">
      <c r="B13" s="101"/>
      <c r="C13" s="102"/>
      <c r="E13" s="101"/>
      <c r="F13" s="102"/>
      <c r="H13" s="101"/>
      <c r="I13" s="102"/>
      <c r="K13" s="101"/>
      <c r="L13" s="102"/>
    </row>
    <row r="14" spans="2:12" x14ac:dyDescent="0.25">
      <c r="B14" s="101"/>
      <c r="C14" s="102"/>
      <c r="E14" s="101"/>
      <c r="F14" s="102"/>
      <c r="H14" s="101"/>
      <c r="I14" s="102"/>
      <c r="K14" s="101"/>
      <c r="L14" s="102"/>
    </row>
    <row r="15" spans="2:12" x14ac:dyDescent="0.25">
      <c r="B15" s="101"/>
      <c r="C15" s="102"/>
      <c r="E15" s="101"/>
      <c r="F15" s="102"/>
      <c r="H15" s="101"/>
      <c r="I15" s="102"/>
      <c r="K15" s="101"/>
      <c r="L15" s="102"/>
    </row>
    <row r="16" spans="2:12" x14ac:dyDescent="0.25">
      <c r="B16" s="101"/>
      <c r="C16" s="102"/>
      <c r="E16" s="101"/>
      <c r="F16" s="102"/>
      <c r="H16" s="101"/>
      <c r="I16" s="102"/>
      <c r="K16" s="101"/>
      <c r="L16" s="102"/>
    </row>
    <row r="17" spans="2:12" x14ac:dyDescent="0.25">
      <c r="B17" s="101"/>
      <c r="C17" s="102"/>
      <c r="E17" s="101"/>
      <c r="F17" s="102"/>
      <c r="H17" s="101"/>
      <c r="I17" s="102"/>
      <c r="K17" s="101"/>
      <c r="L17" s="102"/>
    </row>
    <row r="18" spans="2:12" x14ac:dyDescent="0.25">
      <c r="B18" s="103"/>
      <c r="C18" s="104"/>
      <c r="E18" s="103"/>
      <c r="F18" s="104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B20:C21"/>
    <mergeCell ref="B23:C24"/>
    <mergeCell ref="B3:L5"/>
    <mergeCell ref="B7:L7"/>
    <mergeCell ref="B9:C18"/>
    <mergeCell ref="E9:F18"/>
    <mergeCell ref="H9:I18"/>
    <mergeCell ref="K9:L18"/>
  </mergeCells>
  <hyperlinks>
    <hyperlink ref="B23:C24" location="Startseite!A1" display="Home" xr:uid="{DF21B8C2-594D-435B-AE39-DB4892A800E5}"/>
    <hyperlink ref="B20:C21" location="'Situation P'!A1" display="Zurück" xr:uid="{BC165D19-1B3B-4DEA-A9E0-29C5DDF83D2B}"/>
    <hyperlink ref="B9:C18" location="'P P N L G '!A1" display="'P P N L G '!A1" xr:uid="{B4451125-B99A-473A-9402-5758D5251207}"/>
    <hyperlink ref="E9:F18" location="'P P N L T '!A1" display="'P P N L T '!A1" xr:uid="{48FEE6EA-F0D4-4805-88D6-750D65DC894F}"/>
    <hyperlink ref="H9:I18" location="'P P N R G '!A1" display="'P P N R G '!A1" xr:uid="{17D025FC-A9C5-49C1-8573-5B9781769BB8}"/>
    <hyperlink ref="K9:L18" location="'P P N R T '!A1" display="'P P N R T '!A1" xr:uid="{88066FFA-DCBE-4210-A5F9-FBFEDC4985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7F17-635F-49BE-9990-689F9E6EA51D}">
  <dimension ref="B3:X48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D13-31-6-10</f>
        <v>1453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D11+D23+120</f>
        <v>900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1.3077000000000001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32.692500000000003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26" t="s">
        <v>164</v>
      </c>
      <c r="D19" s="42" t="s">
        <v>154</v>
      </c>
      <c r="F19" s="26" t="str">
        <f>IF(D19="Porta 100","maximal 100 Kg Türgewicht",IF(D19="Porta 60","maximal 60 Kg Türgewicht",0))</f>
        <v>maximal 100 Kg Türgewicht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30" customHeight="1" x14ac:dyDescent="0.25">
      <c r="G20" s="150"/>
      <c r="H20" s="150"/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 t="s">
        <v>47</v>
      </c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31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C23" s="1" t="s">
        <v>31</v>
      </c>
      <c r="D23" s="34">
        <v>30</v>
      </c>
      <c r="E23" s="1" t="s">
        <v>19</v>
      </c>
      <c r="F23" s="1" t="s">
        <v>34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D25+3</f>
        <v>9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(2*U13)-120</f>
        <v>1680</v>
      </c>
      <c r="V25" s="5" t="s">
        <v>19</v>
      </c>
      <c r="W25" s="5" t="s">
        <v>48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35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U25</f>
        <v>1680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 t="str">
        <f>IF(U28&lt;2501,Daten!L24,IF(U28&lt;3501,Daten!L25,0))</f>
        <v>057.3112.250</v>
      </c>
      <c r="W29" s="5" t="str">
        <f>IF(U28&lt;2501,Daten!M24,IF(U28&lt;3501,Daten!M25,"siehe Katlaog"))</f>
        <v>Laufschiene Aluminium, eloxiert, gleocht 2500 mm</v>
      </c>
    </row>
    <row r="30" spans="2:23" x14ac:dyDescent="0.25">
      <c r="B30" s="1" t="s">
        <v>36</v>
      </c>
      <c r="D30" s="34" t="s">
        <v>40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 t="s">
        <v>101</v>
      </c>
      <c r="V30" s="5"/>
      <c r="W30" s="5"/>
    </row>
    <row r="31" spans="2:23" ht="6" customHeight="1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ht="28.5" customHeight="1" x14ac:dyDescent="0.25">
      <c r="B32" s="151" t="s">
        <v>162</v>
      </c>
      <c r="C32" s="152"/>
      <c r="D32" s="43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>
        <f>U28</f>
        <v>1680</v>
      </c>
      <c r="V32" s="5" t="s">
        <v>19</v>
      </c>
      <c r="W32" s="5" t="s">
        <v>100</v>
      </c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U23+52</f>
        <v>61</v>
      </c>
      <c r="V34" s="5" t="s">
        <v>19</v>
      </c>
      <c r="W34" s="5" t="s">
        <v>52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 t="str">
        <f>IF(U32&lt;2501,Daten!L27,IF(U32&lt;3501,Daten!L28,Daten!L10))</f>
        <v>057.3113.250</v>
      </c>
      <c r="W36" s="5" t="str">
        <f>IF(U32&lt;2501,Daten!M27,IF(U32&lt;3501,Daten!M28,Daten!L10))</f>
        <v>Clip-Blende, Aluminium, eloxiert 2500 mm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ht="15.75" x14ac:dyDescent="0.25">
      <c r="B38" s="70" t="s">
        <v>16</v>
      </c>
      <c r="C38" s="71"/>
      <c r="D38" s="25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ht="15.75" x14ac:dyDescent="0.25">
      <c r="B39" s="72"/>
      <c r="C39" s="73"/>
      <c r="D39" s="25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6" t="s">
        <v>53</v>
      </c>
      <c r="V40" s="5"/>
      <c r="W40" s="5"/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2"/>
      <c r="C42" s="73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>
        <f>U13-25</f>
        <v>875</v>
      </c>
      <c r="V42" s="5" t="s">
        <v>19</v>
      </c>
      <c r="W42" s="5" t="s">
        <v>110</v>
      </c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U13-5</f>
        <v>895</v>
      </c>
      <c r="V44" s="5" t="s">
        <v>19</v>
      </c>
      <c r="W44" s="5" t="s">
        <v>54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  <c r="T46" s="5"/>
      <c r="U46" s="5"/>
      <c r="V46" s="5">
        <f>IF(U13&lt;931,Daten!F8,IF(U13&lt;1051,Daten!F9,IF(U13&lt;1181,Daten!F10,IF(U13&lt;1301,Daten!F11,Daten!F12))))</f>
        <v>30437</v>
      </c>
      <c r="W46" s="5" t="str">
        <f>IF(V46=30437,Daten!G8,IF(V46=30439,Daten!G9,IF(V46=30441,Daten!G10,IF(V46=30443,Daten!G11,Daten!G12))))</f>
        <v>Hawa Acoustics XS links</v>
      </c>
    </row>
    <row r="48" spans="2:23" x14ac:dyDescent="0.25">
      <c r="J48" s="19"/>
    </row>
  </sheetData>
  <sheetProtection sheet="1" objects="1" scenarios="1"/>
  <mergeCells count="10">
    <mergeCell ref="B41:C42"/>
    <mergeCell ref="B3:M5"/>
    <mergeCell ref="B7:M7"/>
    <mergeCell ref="B9:F9"/>
    <mergeCell ref="B21:F21"/>
    <mergeCell ref="B28:F28"/>
    <mergeCell ref="B38:C39"/>
    <mergeCell ref="E38:F39"/>
    <mergeCell ref="G20:H20"/>
    <mergeCell ref="B32:C32"/>
  </mergeCells>
  <dataValidations count="7">
    <dataValidation type="whole" allowBlank="1" showInputMessage="1" showErrorMessage="1" errorTitle="Falsches Mass" error="Muss zwischen 6 und 25 mm sein" sqref="D25" xr:uid="{29E34408-02EE-4715-8A7F-BAA7AFB8E8CA}">
      <formula1>6</formula1>
      <formula2>25</formula2>
    </dataValidation>
    <dataValidation type="whole" allowBlank="1" showInputMessage="1" showErrorMessage="1" errorTitle="Falsches Mass" error="Muss zwischen 30 und 60 mm sein" sqref="D23" xr:uid="{106C49C6-2DC0-4114-B07C-30D2BD08B5BA}">
      <formula1>30</formula1>
      <formula2>60</formula2>
    </dataValidation>
    <dataValidation type="whole" allowBlank="1" showInputMessage="1" showErrorMessage="1" errorTitle="Falsches Mass" error="Muss zwischen 750 und 1250 mm sein" sqref="D26" xr:uid="{4784DD90-B685-4553-9CD1-CA6A245F4C21}">
      <formula1>6</formula1>
      <formula2>25</formula2>
    </dataValidation>
    <dataValidation allowBlank="1" showInputMessage="1" showErrorMessage="1" errorTitle="Flasches Mass" error="Muss zwischen 44 und 50 mm sein" sqref="D17" xr:uid="{5B8B7235-891B-4FD1-BF82-3DC0D00A46B6}"/>
    <dataValidation type="whole" allowBlank="1" showInputMessage="1" showErrorMessage="1" errorTitle="Flasches Mass" error="Muss zwischen 39 und 45 mm sein" sqref="D15" xr:uid="{03F1AE64-173B-488D-95B0-AEE841ED2CC4}">
      <formula1>39</formula1>
      <formula2>45</formula2>
    </dataValidation>
    <dataValidation type="whole" allowBlank="1" showInputMessage="1" showErrorMessage="1" errorTitle="Flasches Mass" error="Muss zwischen 1500 und 2550 mm sein" sqref="D13" xr:uid="{F9C5A1C1-9A6A-40C2-A9C6-47CFACA0C3DB}">
      <formula1>1500</formula1>
      <formula2>2550</formula2>
    </dataValidation>
    <dataValidation type="whole" allowBlank="1" showInputMessage="1" showErrorMessage="1" errorTitle="Falsches Mass" error="Muss zwischen 750 und 1250 mm sein" sqref="D11" xr:uid="{D76D7B05-E002-44A9-BED9-688F57B3EA52}">
      <formula1>750</formula1>
      <formula2>1250</formula2>
    </dataValidation>
  </dataValidations>
  <hyperlinks>
    <hyperlink ref="B41:C42" location="Startseite!A1" display="Home" xr:uid="{19C7E9A6-407C-4057-815D-5F2E5352CCAD}"/>
    <hyperlink ref="B38:C39" location="'Art P N '!A1" display="Zurück" xr:uid="{12F30211-075D-4FAC-81D0-B0CB963E7E6B}"/>
    <hyperlink ref="E38:F39" location="'21'!A1" display="Zum Plan " xr:uid="{64FAEBB1-3D8C-4B65-B059-A1915AC6ACE2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FC0B2A4C-E7DF-44E5-AB8F-DAEDE3102EB6}">
          <x14:formula1>
            <xm:f>Daten!$B$2:$B$3</xm:f>
          </x14:formula1>
          <xm:sqref>D30 D32 D34</xm:sqref>
        </x14:dataValidation>
        <x14:dataValidation type="list" allowBlank="1" showInputMessage="1" showErrorMessage="1" xr:uid="{828A5352-6567-43B6-8013-D8A7A0C63B77}">
          <x14:formula1>
            <xm:f>Daten!$B$6:$B$7</xm:f>
          </x14:formula1>
          <xm:sqref>D19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07F5-0AF3-44C5-A163-E58503CA20D2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2.570312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N L G '!U23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N L G 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N L G '!U11</f>
        <v>1453</v>
      </c>
      <c r="I10" s="18" t="s">
        <v>19</v>
      </c>
      <c r="Z10" s="32">
        <f>IF('P P N L G '!D19="Porta 60",Daten!F4,IF('P P N L G '!D19="Porta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N L G '!V46</f>
        <v>30437</v>
      </c>
      <c r="AA11" s="21">
        <v>1</v>
      </c>
      <c r="AB11" s="21" t="str">
        <f>'P P N L G '!W46</f>
        <v>Hawa Acoustics XS links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N L G '!U42</f>
        <v>875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N L G '!U44</f>
        <v>895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N L G '!V29</f>
        <v>057.3112.250</v>
      </c>
      <c r="AA15" s="21">
        <v>1</v>
      </c>
      <c r="AB15" s="21" t="str">
        <f>'P P N L G '!W29</f>
        <v>Laufschiene Aluminium, eloxiert, gleocht 2500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32" t="str">
        <f>'P P N L G '!V36</f>
        <v>057.3113.250</v>
      </c>
      <c r="AA18" s="21">
        <f>IF('P P N L G '!D30="JA",1,0)</f>
        <v>1</v>
      </c>
      <c r="AB18" s="21" t="str">
        <f>'P P N L G '!W36</f>
        <v>Clip-Blende, Aluminium, eloxiert 2500 mm</v>
      </c>
      <c r="AC18" s="21"/>
      <c r="AD18" s="21"/>
    </row>
    <row r="19" spans="11:30" x14ac:dyDescent="0.25">
      <c r="Z19" s="32">
        <f>IF('P P N L G '!D32="JA",Daten!L30,0)</f>
        <v>30485</v>
      </c>
      <c r="AA19" s="21">
        <f>IF('P P N L G '!D32="JA",1,0)</f>
        <v>1</v>
      </c>
      <c r="AB19" s="21" t="str">
        <f>IF('P P N L G '!D32="Ja",Daten!M30,0)</f>
        <v>Blendenendstück Kunststoff, anthrazit, 95 mm</v>
      </c>
      <c r="AC19" s="21"/>
      <c r="AD19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  <c r="T25" s="16" t="s">
        <v>64</v>
      </c>
      <c r="U25" s="17">
        <f>126-T48</f>
        <v>96</v>
      </c>
      <c r="V25" s="18" t="s">
        <v>19</v>
      </c>
    </row>
    <row r="48" spans="3:21" x14ac:dyDescent="0.25">
      <c r="C48" s="16" t="s">
        <v>59</v>
      </c>
      <c r="D48" s="17">
        <f>'P P N L G '!U28</f>
        <v>1680</v>
      </c>
      <c r="E48" s="18" t="s">
        <v>19</v>
      </c>
      <c r="K48" s="16" t="s">
        <v>56</v>
      </c>
      <c r="L48" s="17">
        <f>'P P N L G '!D11</f>
        <v>750</v>
      </c>
      <c r="M48" s="18" t="s">
        <v>19</v>
      </c>
      <c r="S48" s="16" t="s">
        <v>57</v>
      </c>
      <c r="T48" s="17">
        <f>'P P N L G '!D23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N L G '!U13</f>
        <v>900</v>
      </c>
      <c r="M50" s="18" t="s">
        <v>19</v>
      </c>
      <c r="S50" s="16" t="s">
        <v>58</v>
      </c>
      <c r="T50" s="17">
        <f>'P P N L G '!D25</f>
        <v>6</v>
      </c>
      <c r="U50" s="18" t="s">
        <v>19</v>
      </c>
    </row>
    <row r="62" spans="3:21" x14ac:dyDescent="0.25">
      <c r="C62" s="16" t="s">
        <v>61</v>
      </c>
      <c r="D62" s="17">
        <f>'P P N L G '!U32</f>
        <v>1680</v>
      </c>
      <c r="E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H6+52</f>
        <v>61</v>
      </c>
      <c r="E64" s="18" t="s">
        <v>19</v>
      </c>
    </row>
    <row r="69" spans="3:4" x14ac:dyDescent="0.25">
      <c r="C69" s="70" t="s">
        <v>16</v>
      </c>
      <c r="D69" s="71"/>
    </row>
    <row r="70" spans="3:4" x14ac:dyDescent="0.25">
      <c r="C70" s="72"/>
      <c r="D70" s="73"/>
    </row>
    <row r="72" spans="3:4" x14ac:dyDescent="0.25">
      <c r="C72" s="70" t="s">
        <v>8</v>
      </c>
      <c r="D72" s="71"/>
    </row>
    <row r="73" spans="3:4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84936BA3-D56A-4962-A22B-84E9B54310A9}"/>
    <hyperlink ref="C69:D70" location="'P P N L G '!A1" display="Zurück" xr:uid="{0C5FD2C8-4881-4241-9418-D6524A83003B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8E1C-5CF7-4DEF-9877-B6F74980F6B7}">
  <dimension ref="B3:X50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D13-31-6-10</f>
        <v>1453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D11+(2*D25)+10</f>
        <v>820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1.19146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29.7865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112</v>
      </c>
      <c r="D19" s="34">
        <v>120</v>
      </c>
      <c r="E19" s="1" t="s">
        <v>19</v>
      </c>
      <c r="F19" s="1" t="s">
        <v>113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28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31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30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D27+3</f>
        <v>9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(2*U13)-D19</f>
        <v>1520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35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U27</f>
        <v>1520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 t="str">
        <f>IF(U30&lt;2501,Daten!L24,IF(U30&lt;3501,Daten!L25,0))</f>
        <v>057.3112.250</v>
      </c>
      <c r="W31" s="5" t="str">
        <f>IF(U30&lt;2501,Daten!M24,IF(U30&lt;3501,Daten!M25,"siehe Katlaog"))</f>
        <v>Laufschiene Aluminium, eloxiert, gleocht 2500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ht="30.75" customHeight="1" x14ac:dyDescent="0.25">
      <c r="B34" s="151" t="s">
        <v>162</v>
      </c>
      <c r="C34" s="152"/>
      <c r="D34" s="43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U30</f>
        <v>1520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U25+52</f>
        <v>61</v>
      </c>
      <c r="V36" s="5" t="s">
        <v>19</v>
      </c>
      <c r="W36" s="5" t="s">
        <v>165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 t="str">
        <f>IF(U34&lt;2501,Daten!L27,IF(U34&lt;3501,Daten!L28,Daten!L10))</f>
        <v>057.3113.250</v>
      </c>
      <c r="W38" s="5" t="str">
        <f>IF(U34&lt;2501,Daten!M27,IF(U34&lt;3501,Daten!M28,Daten!L10))</f>
        <v>Clip-Blende, Aluminium, eloxiert 2500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U13-25</f>
        <v>795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U13-5</f>
        <v>815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IF(U13&lt;931,Daten!F8,IF(U13&lt;1051,Daten!F9,IF(U13&lt;1181,Daten!F10,IF(U13&lt;1301,Daten!F11,Daten!F12))))</f>
        <v>30437</v>
      </c>
      <c r="W48" s="5" t="str">
        <f>IF(V48=30437,Daten!G8,IF(V48=30439,Daten!G9,IF(V48=30441,Daten!G10,IF(V48=30443,Daten!G11,Daten!G12))))</f>
        <v>Hawa Acoustics XS links</v>
      </c>
    </row>
    <row r="50" spans="10:10" x14ac:dyDescent="0.25">
      <c r="J50" s="19"/>
    </row>
  </sheetData>
  <sheetProtection sheet="1" objects="1" scenarios="1"/>
  <mergeCells count="9">
    <mergeCell ref="B43:C44"/>
    <mergeCell ref="B3:M5"/>
    <mergeCell ref="B7:M7"/>
    <mergeCell ref="B9:F9"/>
    <mergeCell ref="B23:F23"/>
    <mergeCell ref="B30:F30"/>
    <mergeCell ref="B40:C41"/>
    <mergeCell ref="E40:F41"/>
    <mergeCell ref="B34:C34"/>
  </mergeCells>
  <dataValidations count="8">
    <dataValidation type="whole" allowBlank="1" showInputMessage="1" showErrorMessage="1" errorTitle="Falsches Mass" error="Muss zwischen 6 und 25 mm sein" sqref="D27" xr:uid="{9B086126-18CE-4CCF-872E-91782C4708B1}">
      <formula1>6</formula1>
      <formula2>25</formula2>
    </dataValidation>
    <dataValidation type="whole" operator="greaterThan" allowBlank="1" showInputMessage="1" showErrorMessage="1" errorTitle="Flasches Mass" error="Muss min. 120 mm sein" sqref="D19:D20" xr:uid="{834DE3CE-602C-44AA-AAF0-C36DF0DF7E37}">
      <formula1>119</formula1>
    </dataValidation>
    <dataValidation type="whole" allowBlank="1" showInputMessage="1" showErrorMessage="1" errorTitle="Falsches Mass" error="Muss zwischen 750 und 1250 mm sein" sqref="D11" xr:uid="{FF41C487-EDC5-4B63-B02B-0343D41786B5}">
      <formula1>750</formula1>
      <formula2>1250</formula2>
    </dataValidation>
    <dataValidation type="whole" allowBlank="1" showInputMessage="1" showErrorMessage="1" errorTitle="Flasches Mass" error="Muss zwischen 1500 und 2550 mm sein" sqref="D13" xr:uid="{131697C9-66DB-4141-AC04-EFEDA7CC452F}">
      <formula1>1500</formula1>
      <formula2>2550</formula2>
    </dataValidation>
    <dataValidation allowBlank="1" showInputMessage="1" showErrorMessage="1" errorTitle="Flasches Mass" error="Muss zwischen 44 und 50 mm sein" sqref="D17:D18" xr:uid="{95C25979-5C00-4EBF-A5E8-087E598E4240}"/>
    <dataValidation type="whole" allowBlank="1" showInputMessage="1" showErrorMessage="1" errorTitle="Falsches Mass" error="Muss zwischen 750 und 1250 mm sein" sqref="D28" xr:uid="{01465F52-6AB6-4AAD-BF6A-8FB08524BA8D}">
      <formula1>6</formula1>
      <formula2>25</formula2>
    </dataValidation>
    <dataValidation type="whole" allowBlank="1" showInputMessage="1" showErrorMessage="1" errorTitle="Falsches Mass" error="Muss zwischen 30 und 60 mm sein" sqref="D25" xr:uid="{DDFAA56C-21B2-426C-9E47-E698A62B17F4}">
      <formula1>30</formula1>
      <formula2>60</formula2>
    </dataValidation>
    <dataValidation type="whole" allowBlank="1" showInputMessage="1" showErrorMessage="1" errorTitle="Flasches Mass" error="Muss zwischen 39 und 45 mm sein" sqref="D15" xr:uid="{3C056DFB-A07A-48DB-AC32-C6BA2686EC6C}">
      <formula1>39</formula1>
      <formula2>45</formula2>
    </dataValidation>
  </dataValidations>
  <hyperlinks>
    <hyperlink ref="B43:C44" location="Startseite!A1" display="Home" xr:uid="{694091DD-68D6-4F48-BB79-FAAC5B7F8E4F}"/>
    <hyperlink ref="B40:C41" location="'Art P N '!A1" display="Zurück" xr:uid="{A8A96F0A-FE18-4EC5-97AF-33104C505D13}"/>
    <hyperlink ref="E40:F41" location="'22'!A1" display="Zum Plan " xr:uid="{4AC74CB2-9B10-4112-B646-66F3715063AF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2833BD2F-0C0D-4A81-B26B-89D3ADA35A6B}">
          <x14:formula1>
            <xm:f>Daten!$B$2:$B$3</xm:f>
          </x14:formula1>
          <xm:sqref>D32 D36 D34</xm:sqref>
        </x14:dataValidation>
        <x14:dataValidation type="list" allowBlank="1" showInputMessage="1" showErrorMessage="1" xr:uid="{D389FA57-ED1B-4FAA-8222-A69025EAEAA3}">
          <x14:formula1>
            <xm:f>Daten!$B$6:$B$7</xm:f>
          </x14:formula1>
          <xm:sqref>D21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10F3-995D-45F5-A7F6-2E3421838188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5.71093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N L T '!U25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N L T 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N L T '!U11</f>
        <v>1453</v>
      </c>
      <c r="I10" s="18" t="s">
        <v>19</v>
      </c>
      <c r="Z10" s="32">
        <f>IF('P P N L T '!D21="Porta 60",Daten!F4,IF('P P N L T '!D21="Porta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N L T '!V48</f>
        <v>30437</v>
      </c>
      <c r="AA11" s="21">
        <v>1</v>
      </c>
      <c r="AB11" s="21" t="str">
        <f>'P P N L T '!W48</f>
        <v>Hawa Acoustics XS links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N L T '!U44</f>
        <v>795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N L T '!U46</f>
        <v>815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N L T '!V31</f>
        <v>057.3112.250</v>
      </c>
      <c r="AA15" s="21">
        <v>1</v>
      </c>
      <c r="AB15" s="21" t="str">
        <f>'P P N L T '!W31</f>
        <v>Laufschiene Aluminium, eloxiert, gleocht 2500 mm</v>
      </c>
      <c r="AC15" s="21"/>
      <c r="AD15" s="21"/>
    </row>
    <row r="16" spans="6:30" x14ac:dyDescent="0.25">
      <c r="Z16" s="32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32" t="str">
        <f>'P P N L T '!V38</f>
        <v>057.3113.250</v>
      </c>
      <c r="AA18" s="21">
        <f>IF('P P N L T '!D32="JA",1,0)</f>
        <v>1</v>
      </c>
      <c r="AB18" s="21" t="str">
        <f>'P P N L T '!W38</f>
        <v>Clip-Blende, Aluminium, eloxiert 2500 mm</v>
      </c>
      <c r="AC18" s="21"/>
      <c r="AD18" s="21"/>
    </row>
    <row r="19" spans="11:30" x14ac:dyDescent="0.25">
      <c r="Z19" s="32">
        <f>IF('P P N L T '!D34="JA",Daten!L30,0)</f>
        <v>30485</v>
      </c>
      <c r="AA19" s="21">
        <f>IF('P P N L T '!D34="JA",1,0)</f>
        <v>1</v>
      </c>
      <c r="AB19" s="21" t="str">
        <f>IF('P P N L T '!D34="Ja",Daten!M30,0)</f>
        <v>Blendenendstück Kunststoff, anthrazit, 95 mm</v>
      </c>
      <c r="AC19" s="21"/>
      <c r="AD19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</row>
    <row r="48" spans="3:21" x14ac:dyDescent="0.25">
      <c r="C48" s="16" t="s">
        <v>59</v>
      </c>
      <c r="D48" s="17">
        <f>'P P N L T '!U30</f>
        <v>1520</v>
      </c>
      <c r="E48" s="18" t="s">
        <v>19</v>
      </c>
      <c r="K48" s="16" t="s">
        <v>56</v>
      </c>
      <c r="L48" s="17">
        <f>'P P N L T '!D11</f>
        <v>750</v>
      </c>
      <c r="M48" s="18" t="s">
        <v>19</v>
      </c>
      <c r="S48" s="16" t="s">
        <v>57</v>
      </c>
      <c r="T48" s="17">
        <f>'P P N L T '!D25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N L T '!U13</f>
        <v>820</v>
      </c>
      <c r="M50" s="18" t="s">
        <v>19</v>
      </c>
      <c r="S50" s="16" t="s">
        <v>58</v>
      </c>
      <c r="T50" s="17">
        <f>'P P N L T '!D27</f>
        <v>6</v>
      </c>
      <c r="U50" s="18" t="s">
        <v>19</v>
      </c>
    </row>
    <row r="62" spans="3:21" x14ac:dyDescent="0.25">
      <c r="C62" s="16" t="s">
        <v>61</v>
      </c>
      <c r="D62" s="17">
        <f>'P P N L T '!U34</f>
        <v>1520</v>
      </c>
      <c r="E62" s="18" t="s">
        <v>19</v>
      </c>
      <c r="K62" s="16" t="s">
        <v>114</v>
      </c>
      <c r="L62" s="17">
        <f>'P P N L T '!D19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H6+53</f>
        <v>62</v>
      </c>
      <c r="E64" s="18" t="s">
        <v>19</v>
      </c>
    </row>
    <row r="69" spans="3:4" x14ac:dyDescent="0.25">
      <c r="C69" s="70" t="s">
        <v>16</v>
      </c>
      <c r="D69" s="71"/>
    </row>
    <row r="70" spans="3:4" x14ac:dyDescent="0.25">
      <c r="C70" s="72"/>
      <c r="D70" s="73"/>
    </row>
    <row r="72" spans="3:4" x14ac:dyDescent="0.25">
      <c r="C72" s="70" t="s">
        <v>8</v>
      </c>
      <c r="D72" s="71"/>
    </row>
    <row r="73" spans="3:4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5C7944B8-7F98-4585-A20B-FC3DB8E2CF5E}"/>
    <hyperlink ref="C69:D70" location="'P P N L T '!A1" display="Zurück" xr:uid="{F8076936-9793-4AFD-9079-E42BD047BCEF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B3B4-E35D-49C0-8293-8AB0F0905A2A}">
  <dimension ref="B3:X48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166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D13-31-6-10</f>
        <v>1453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D11+D23+120</f>
        <v>900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1.3077000000000001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32.692500000000003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26" t="s">
        <v>164</v>
      </c>
      <c r="D19" s="42" t="s">
        <v>154</v>
      </c>
      <c r="F19" s="26" t="str">
        <f>IF(D19="Porta 100","maximal 100 Kg Türgewicht",IF(D19="Porta 60","maximal 60 Kg Türgewicht",0))</f>
        <v>maximal 100 Kg Türgewicht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 t="s">
        <v>47</v>
      </c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31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C23" s="1" t="s">
        <v>31</v>
      </c>
      <c r="D23" s="34">
        <v>30</v>
      </c>
      <c r="E23" s="1" t="s">
        <v>19</v>
      </c>
      <c r="F23" s="1" t="s">
        <v>34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D25+3</f>
        <v>9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(2*U13)-120</f>
        <v>1680</v>
      </c>
      <c r="V25" s="5" t="s">
        <v>19</v>
      </c>
      <c r="W25" s="5" t="s">
        <v>48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35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U25</f>
        <v>1680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 t="str">
        <f>IF(U28&lt;2501,Daten!L24,IF(U28&lt;3501,Daten!L25,0))</f>
        <v>057.3112.250</v>
      </c>
      <c r="W29" s="5" t="str">
        <f>IF(U28&lt;2501,Daten!M24,IF(U28&lt;3501,Daten!M25,"siehe Katlaog"))</f>
        <v>Laufschiene Aluminium, eloxiert, gleocht 2500 mm</v>
      </c>
    </row>
    <row r="30" spans="2:23" x14ac:dyDescent="0.25">
      <c r="B30" s="1" t="s">
        <v>36</v>
      </c>
      <c r="D30" s="34" t="s">
        <v>40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 t="s">
        <v>101</v>
      </c>
      <c r="V30" s="5"/>
      <c r="W30" s="5"/>
    </row>
    <row r="31" spans="2:23" ht="6" customHeight="1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ht="30" customHeight="1" x14ac:dyDescent="0.25">
      <c r="B32" s="151" t="s">
        <v>162</v>
      </c>
      <c r="C32" s="152"/>
      <c r="D32" s="4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>
        <f>U28</f>
        <v>1680</v>
      </c>
      <c r="V32" s="5" t="s">
        <v>19</v>
      </c>
      <c r="W32" s="5" t="s">
        <v>100</v>
      </c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U23+52</f>
        <v>61</v>
      </c>
      <c r="V34" s="5" t="s">
        <v>19</v>
      </c>
      <c r="W34" s="5" t="s">
        <v>52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 t="str">
        <f>IF(U32&lt;2501,Daten!L27,IF(U32&lt;3501,Daten!L28,Daten!L10))</f>
        <v>057.3113.250</v>
      </c>
      <c r="W36" s="5" t="str">
        <f>IF(U32&lt;2501,Daten!M27,IF(U32&lt;3501,Daten!M28,Daten!L10))</f>
        <v>Clip-Blende, Aluminium, eloxiert 2500 mm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0" t="s">
        <v>16</v>
      </c>
      <c r="C38" s="71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B39" s="72"/>
      <c r="C39" s="73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6" t="s">
        <v>53</v>
      </c>
      <c r="V40" s="5"/>
      <c r="W40" s="5"/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2"/>
      <c r="C42" s="73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>
        <f>U13-25</f>
        <v>875</v>
      </c>
      <c r="V42" s="5" t="s">
        <v>19</v>
      </c>
      <c r="W42" s="5" t="s">
        <v>110</v>
      </c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U13-5</f>
        <v>895</v>
      </c>
      <c r="V44" s="5" t="s">
        <v>19</v>
      </c>
      <c r="W44" s="5" t="s">
        <v>54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  <c r="T46" s="5"/>
      <c r="U46" s="5"/>
      <c r="V46" s="5">
        <f>IF(U13&lt;931,Daten!I8,IF(U13&lt;1051,Daten!I9,IF(U13&lt;1181,Daten!I10,IF(U13&lt;1301,Daten!I11,Daten!I12))))</f>
        <v>30436</v>
      </c>
      <c r="W46" s="5" t="str">
        <f>IF(V46=30436,Daten!J8,IF(V46=30438,Daten!J9,IF(V46=30440,Daten!J10,IF(V46=30442,Daten!J11,Daten!J12))))</f>
        <v xml:space="preserve">Hawa Acoustics XS rechts </v>
      </c>
    </row>
    <row r="48" spans="2:23" x14ac:dyDescent="0.25">
      <c r="J48" s="19"/>
    </row>
  </sheetData>
  <sheetProtection sheet="1" objects="1" scenarios="1"/>
  <mergeCells count="9">
    <mergeCell ref="B41:C42"/>
    <mergeCell ref="B3:M5"/>
    <mergeCell ref="B7:M7"/>
    <mergeCell ref="B9:F9"/>
    <mergeCell ref="B21:F21"/>
    <mergeCell ref="B28:F28"/>
    <mergeCell ref="B38:C39"/>
    <mergeCell ref="E38:F39"/>
    <mergeCell ref="B32:C32"/>
  </mergeCells>
  <dataValidations count="7">
    <dataValidation type="whole" allowBlank="1" showInputMessage="1" showErrorMessage="1" errorTitle="Falsches Mass" error="Muss zwischen 750 und 1250 mm sein" sqref="D11" xr:uid="{88CC6A2F-7A9F-41FC-ACFF-5EA8318E3764}">
      <formula1>750</formula1>
      <formula2>1250</formula2>
    </dataValidation>
    <dataValidation type="whole" allowBlank="1" showInputMessage="1" showErrorMessage="1" errorTitle="Flasches Mass" error="Muss zwischen 1500 und 2550 mm sein" sqref="D13" xr:uid="{ABED1FDE-AF9C-4043-A5F8-E5F4CD12CFD6}">
      <formula1>1500</formula1>
      <formula2>2550</formula2>
    </dataValidation>
    <dataValidation allowBlank="1" showInputMessage="1" showErrorMessage="1" errorTitle="Flasches Mass" error="Muss zwischen 44 und 50 mm sein" sqref="D17:D18" xr:uid="{1CE1F893-4943-4685-B2EA-EF5F0C7DD483}"/>
    <dataValidation type="whole" allowBlank="1" showInputMessage="1" showErrorMessage="1" errorTitle="Falsches Mass" error="Muss zwischen 750 und 1250 mm sein" sqref="D26" xr:uid="{D378F371-7466-4587-B0CD-7B1FFB650BA4}">
      <formula1>6</formula1>
      <formula2>25</formula2>
    </dataValidation>
    <dataValidation type="whole" allowBlank="1" showInputMessage="1" showErrorMessage="1" errorTitle="Falsches Mass" error="Muss zwischen 30 und 60 mm sein" sqref="D23" xr:uid="{C74F17E9-5B33-48C6-9DB2-D665792BB12D}">
      <formula1>30</formula1>
      <formula2>60</formula2>
    </dataValidation>
    <dataValidation type="whole" allowBlank="1" showInputMessage="1" showErrorMessage="1" errorTitle="Falsches Mass" error="Muss zwischen 6 und 25 mm sein" sqref="D25" xr:uid="{37BAB872-7C5D-4309-9531-61D2DA9AC40A}">
      <formula1>6</formula1>
      <formula2>25</formula2>
    </dataValidation>
    <dataValidation type="whole" allowBlank="1" showInputMessage="1" showErrorMessage="1" errorTitle="Flasches Mass" error="Muss zwischen 39 und 45 mm sein" sqref="D15" xr:uid="{A9C96127-E80D-4B0A-9B0D-86C566EA8074}">
      <formula1>39</formula1>
      <formula2>45</formula2>
    </dataValidation>
  </dataValidations>
  <hyperlinks>
    <hyperlink ref="B41:C42" location="Startseite!A1" display="Home" xr:uid="{4213326B-105E-424A-8F02-676BA0AE7D12}"/>
    <hyperlink ref="B38:C39" location="'Art P N '!A1" display="Zurück" xr:uid="{1AFA221F-50CD-4475-8665-1A30E10A2654}"/>
    <hyperlink ref="E38:F39" location="'27'!A1" display="Zum Plan " xr:uid="{C35445A8-251C-4F06-AA4F-AA9D2F46874B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59FACCC0-7D1E-454F-9D04-F9D95F17FD46}">
          <x14:formula1>
            <xm:f>Daten!$B$2:$B$3</xm:f>
          </x14:formula1>
          <xm:sqref>D30 D34 D32</xm:sqref>
        </x14:dataValidation>
        <x14:dataValidation type="list" allowBlank="1" showInputMessage="1" showErrorMessage="1" xr:uid="{B158DB83-B8A2-480C-A2E4-CEB366F36E24}">
          <x14:formula1>
            <xm:f>Daten!$B$6:$B$7</xm:f>
          </x14:formula1>
          <xm:sqref>D19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D19E-FCCC-4BDB-8AC8-80BA911AD41C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4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.85546875" style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N R G '!U23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N R G 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N R G '!U11</f>
        <v>1453</v>
      </c>
      <c r="I10" s="18" t="s">
        <v>19</v>
      </c>
      <c r="Z10" s="32">
        <f>IF('P P N R G '!D19="Porta 60",Daten!F4,IF('P P N R G '!D19="Porta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N R G '!V46</f>
        <v>30436</v>
      </c>
      <c r="AA11" s="21">
        <v>1</v>
      </c>
      <c r="AB11" s="21" t="str">
        <f>'P P N R G '!W46</f>
        <v xml:space="preserve">Hawa Acoustics XS rechts 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N R G '!U42</f>
        <v>875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N R G '!U44</f>
        <v>895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N R G '!V29</f>
        <v>057.3112.250</v>
      </c>
      <c r="AA15" s="21">
        <v>1</v>
      </c>
      <c r="AB15" s="21" t="str">
        <f>'P P N R G '!W29</f>
        <v>Laufschiene Aluminium, eloxiert, gleocht 2500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32" t="str">
        <f>'P P N R G '!V36</f>
        <v>057.3113.250</v>
      </c>
      <c r="AA18" s="21">
        <f>IF('P P N R G '!D30="JA",1,0)</f>
        <v>1</v>
      </c>
      <c r="AB18" s="21" t="str">
        <f>'P P N R G '!W36</f>
        <v>Clip-Blende, Aluminium, eloxiert 2500 mm</v>
      </c>
      <c r="AC18" s="21"/>
      <c r="AD18" s="21"/>
    </row>
    <row r="19" spans="11:30" x14ac:dyDescent="0.25">
      <c r="Z19" s="32">
        <f>IF('P P N R G '!D32="JA",Daten!L30,0)</f>
        <v>30485</v>
      </c>
      <c r="AA19" s="21">
        <f>IF('P P N R G '!D32="JA",1,0)</f>
        <v>1</v>
      </c>
      <c r="AB19" s="21" t="str">
        <f>IF('P P N R G '!D32="Ja",Daten!M30,0)</f>
        <v>Blendenendstück Kunststoff, anthrazit, 95 mm</v>
      </c>
      <c r="AC19" s="21"/>
      <c r="AD19" s="21"/>
    </row>
    <row r="25" spans="11:30" x14ac:dyDescent="0.25">
      <c r="K25" s="16" t="s">
        <v>145</v>
      </c>
      <c r="L25" s="17">
        <f>126-T48</f>
        <v>96</v>
      </c>
      <c r="M25" s="17" t="s">
        <v>19</v>
      </c>
      <c r="N25" s="18"/>
      <c r="T25" s="16" t="s">
        <v>146</v>
      </c>
      <c r="U25" s="17">
        <f>T48-10</f>
        <v>20</v>
      </c>
      <c r="V25" s="18" t="s">
        <v>19</v>
      </c>
    </row>
    <row r="48" spans="3:21" x14ac:dyDescent="0.25">
      <c r="C48" s="16" t="s">
        <v>59</v>
      </c>
      <c r="D48" s="17">
        <f>'P P N R G '!U25</f>
        <v>1680</v>
      </c>
      <c r="E48" s="18" t="s">
        <v>19</v>
      </c>
      <c r="K48" s="16" t="s">
        <v>56</v>
      </c>
      <c r="L48" s="17">
        <f>'P P N R G '!D11</f>
        <v>750</v>
      </c>
      <c r="M48" s="18" t="s">
        <v>19</v>
      </c>
      <c r="S48" s="16" t="s">
        <v>57</v>
      </c>
      <c r="T48" s="17">
        <f>'P P N R G '!D23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N R G '!U13</f>
        <v>900</v>
      </c>
      <c r="M50" s="18" t="s">
        <v>19</v>
      </c>
      <c r="S50" s="16" t="s">
        <v>58</v>
      </c>
      <c r="T50" s="17">
        <f>'P P N R G '!D25</f>
        <v>6</v>
      </c>
      <c r="U50" s="18" t="s">
        <v>19</v>
      </c>
    </row>
    <row r="62" spans="3:21" x14ac:dyDescent="0.25">
      <c r="C62" s="16" t="s">
        <v>61</v>
      </c>
      <c r="D62" s="17">
        <f>'P P N R G '!U32</f>
        <v>1680</v>
      </c>
      <c r="E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H6+53</f>
        <v>62</v>
      </c>
      <c r="E64" s="18" t="s">
        <v>19</v>
      </c>
    </row>
    <row r="69" spans="3:4" x14ac:dyDescent="0.25">
      <c r="C69" s="70" t="s">
        <v>16</v>
      </c>
      <c r="D69" s="71"/>
    </row>
    <row r="70" spans="3:4" x14ac:dyDescent="0.25">
      <c r="C70" s="72"/>
      <c r="D70" s="73"/>
    </row>
    <row r="72" spans="3:4" x14ac:dyDescent="0.25">
      <c r="C72" s="70" t="s">
        <v>8</v>
      </c>
      <c r="D72" s="71"/>
    </row>
    <row r="73" spans="3:4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70D6A733-5B72-490C-BE19-9AD93BB4317B}"/>
    <hyperlink ref="C69:D70" location="'P P N R G '!A1" display="Zurück" xr:uid="{45B910CE-3FAD-4CC1-82B7-6EEF91EFCF47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4483-55C4-4C72-A284-B8061195A4AB}">
  <dimension ref="B3:X47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D13-40-6-10</f>
        <v>1444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D11+D22+120</f>
        <v>900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1.2996000000000001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32.49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ht="30" customHeight="1" x14ac:dyDescent="0.25"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6" t="s">
        <v>47</v>
      </c>
      <c r="V19" s="5"/>
      <c r="W19" s="5"/>
    </row>
    <row r="20" spans="2:23" x14ac:dyDescent="0.25">
      <c r="B20" s="126" t="s">
        <v>28</v>
      </c>
      <c r="C20" s="127"/>
      <c r="D20" s="127"/>
      <c r="E20" s="127"/>
      <c r="F20" s="128"/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>
        <v>40</v>
      </c>
      <c r="V20" s="5" t="s">
        <v>19</v>
      </c>
      <c r="W20" s="5" t="s">
        <v>2</v>
      </c>
    </row>
    <row r="21" spans="2:23" ht="6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B22" s="1" t="s">
        <v>30</v>
      </c>
      <c r="C22" s="1" t="s">
        <v>31</v>
      </c>
      <c r="D22" s="34">
        <v>30</v>
      </c>
      <c r="E22" s="1" t="s">
        <v>19</v>
      </c>
      <c r="F22" s="1" t="s">
        <v>34</v>
      </c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f>D24+5</f>
        <v>11</v>
      </c>
      <c r="V22" s="5" t="s">
        <v>19</v>
      </c>
      <c r="W22" s="5" t="s">
        <v>67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2</v>
      </c>
      <c r="C24" s="1" t="s">
        <v>33</v>
      </c>
      <c r="D24" s="34">
        <v>6</v>
      </c>
      <c r="E24" s="1" t="s">
        <v>19</v>
      </c>
      <c r="F24" s="1" t="s">
        <v>32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(2*U13)-120</f>
        <v>1680</v>
      </c>
      <c r="V24" s="5" t="s">
        <v>19</v>
      </c>
      <c r="W24" s="5" t="s">
        <v>48</v>
      </c>
    </row>
    <row r="25" spans="2:23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6" t="s">
        <v>49</v>
      </c>
      <c r="V26" s="5"/>
      <c r="W26" s="5"/>
    </row>
    <row r="27" spans="2:23" x14ac:dyDescent="0.25">
      <c r="B27" s="126" t="s">
        <v>191</v>
      </c>
      <c r="C27" s="127"/>
      <c r="D27" s="127"/>
      <c r="E27" s="127"/>
      <c r="F27" s="128"/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U24</f>
        <v>1680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>
        <f>IF(U27&lt;2001,Daten!L2,IF(U27&lt;2501,Daten!L3,IF(U27&lt;3001,Daten!L4,0)))</f>
        <v>27673</v>
      </c>
      <c r="W28" s="5" t="str">
        <f>IF(V28=27673,Daten!M2,IF(V28=30323,Daten!M3,IF(V28=27672,Daten!M4,"siehe Katlaog")))</f>
        <v>Laufschiene, eloxiert, gelocht 2000 mm</v>
      </c>
    </row>
    <row r="29" spans="2:23" x14ac:dyDescent="0.25">
      <c r="B29" s="1" t="s">
        <v>36</v>
      </c>
      <c r="D29" s="34" t="s">
        <v>40</v>
      </c>
      <c r="F29" s="1" t="s">
        <v>39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101</v>
      </c>
      <c r="V29" s="5"/>
      <c r="W29" s="5"/>
    </row>
    <row r="30" spans="2:23" ht="6" customHeight="1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B31" s="1" t="s">
        <v>37</v>
      </c>
      <c r="D31" s="34" t="s">
        <v>40</v>
      </c>
      <c r="F31" s="1" t="s">
        <v>39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>
        <f>U27</f>
        <v>1680</v>
      </c>
      <c r="V31" s="5" t="s">
        <v>19</v>
      </c>
      <c r="W31" s="5" t="s">
        <v>100</v>
      </c>
    </row>
    <row r="32" spans="2:23" ht="6" customHeight="1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x14ac:dyDescent="0.25">
      <c r="B33" s="1" t="s">
        <v>38</v>
      </c>
      <c r="D33" s="34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>
        <f>U22+54-1</f>
        <v>64</v>
      </c>
      <c r="V33" s="5" t="s">
        <v>19</v>
      </c>
      <c r="W33" s="5" t="s">
        <v>165</v>
      </c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>
        <f>IF(U31&lt;2001,Daten!L8,IF(U31&lt;2501,Daten!L9,Daten!L10))</f>
        <v>27689</v>
      </c>
      <c r="W35" s="5" t="str">
        <f>IF(V35=27689,Daten!M8,IF(V35=30328,Daten!M9,Daten!M10))</f>
        <v>Clip-Blende 2000 mm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B37" s="70" t="s">
        <v>16</v>
      </c>
      <c r="C37" s="71"/>
      <c r="E37" s="70" t="s">
        <v>111</v>
      </c>
      <c r="F37" s="71"/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2"/>
      <c r="C38" s="73"/>
      <c r="E38" s="72"/>
      <c r="F38" s="73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6" t="s">
        <v>53</v>
      </c>
      <c r="V39" s="5"/>
      <c r="W39" s="5"/>
    </row>
    <row r="40" spans="2:23" ht="6" customHeight="1" x14ac:dyDescent="0.25">
      <c r="B40" s="70" t="s">
        <v>8</v>
      </c>
      <c r="C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>
        <f>U13-25</f>
        <v>875</v>
      </c>
      <c r="V41" s="5" t="s">
        <v>19</v>
      </c>
      <c r="W41" s="5" t="s">
        <v>110</v>
      </c>
    </row>
    <row r="42" spans="2:23" ht="6" customHeight="1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>
        <f>U13-5</f>
        <v>895</v>
      </c>
      <c r="V43" s="5" t="s">
        <v>19</v>
      </c>
      <c r="W43" s="5" t="s">
        <v>54</v>
      </c>
    </row>
    <row r="44" spans="2:23" ht="6" customHeight="1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J45" s="13"/>
      <c r="K45" s="14"/>
      <c r="L45" s="14"/>
      <c r="M45" s="14"/>
      <c r="N45" s="14"/>
      <c r="O45" s="14"/>
      <c r="P45" s="14"/>
      <c r="Q45" s="14"/>
      <c r="R45" s="15"/>
      <c r="S45" s="11"/>
      <c r="T45" s="5"/>
      <c r="U45" s="5"/>
      <c r="V45" s="5">
        <f>IF(U13&lt;931,Daten!F8,IF(U13&lt;1051,Daten!F9,IF(U13&lt;1181,Daten!F10,IF(U13&lt;1301,Daten!F11,Daten!F12))))</f>
        <v>30437</v>
      </c>
      <c r="W45" s="5" t="str">
        <f>IF(V45=30437,Daten!G8,IF(V45=30439,Daten!G9,IF(V45=30441,Daten!G10,IF(V45=30443,Daten!G11,Daten!G12))))</f>
        <v>Hawa Acoustics XS links</v>
      </c>
    </row>
    <row r="47" spans="2:23" x14ac:dyDescent="0.25">
      <c r="J47" s="19"/>
    </row>
  </sheetData>
  <sheetProtection sheet="1" objects="1" scenarios="1"/>
  <mergeCells count="8">
    <mergeCell ref="B3:M5"/>
    <mergeCell ref="B7:M7"/>
    <mergeCell ref="B40:C41"/>
    <mergeCell ref="B9:F9"/>
    <mergeCell ref="B20:F20"/>
    <mergeCell ref="B27:F27"/>
    <mergeCell ref="B37:C38"/>
    <mergeCell ref="E37:F38"/>
  </mergeCells>
  <conditionalFormatting sqref="H17">
    <cfRule type="expression" dxfId="31" priority="1">
      <formula>$H$17&gt;100</formula>
    </cfRule>
  </conditionalFormatting>
  <dataValidations count="7">
    <dataValidation type="whole" allowBlank="1" showInputMessage="1" showErrorMessage="1" errorTitle="Falsches Mass" error="Muss zwischen 750 und 1250 mm sein" sqref="D11" xr:uid="{2186EDFB-7F30-4A73-89A4-4EA1F18B6D28}">
      <formula1>750</formula1>
      <formula2>1250</formula2>
    </dataValidation>
    <dataValidation type="whole" allowBlank="1" showInputMessage="1" showErrorMessage="1" errorTitle="Flasches Mass" error="Muss zwischen 1500 und 2550 mm sein" sqref="D13" xr:uid="{5F75BB29-8764-4402-AAAC-3084E1F0B3AE}">
      <formula1>1500</formula1>
      <formula2>2550</formula2>
    </dataValidation>
    <dataValidation type="whole" allowBlank="1" showInputMessage="1" showErrorMessage="1" errorTitle="Flasches Mass" error="Muss zwischen 44 und 50 mm sein_x000a_(bei kleiner 44 mm, verwenden sie Hawa Porta Acoustics)" sqref="D15" xr:uid="{7A09F8CC-E008-434F-93AE-4D829F7A77DE}">
      <formula1>44</formula1>
      <formula2>50</formula2>
    </dataValidation>
    <dataValidation allowBlank="1" showInputMessage="1" showErrorMessage="1" errorTitle="Flasches Mass" error="Muss zwischen 44 und 50 mm sein" sqref="D17" xr:uid="{C0871537-8E09-46C6-ACEC-E2AAC60DDBF9}"/>
    <dataValidation type="whole" allowBlank="1" showInputMessage="1" showErrorMessage="1" errorTitle="Falsches Mass" error="Muss zwischen 750 und 1250 mm sein" sqref="D25" xr:uid="{47493D5D-9FAF-41CD-9B0E-177130B5BA5C}">
      <formula1>6</formula1>
      <formula2>25</formula2>
    </dataValidation>
    <dataValidation type="whole" allowBlank="1" showInputMessage="1" showErrorMessage="1" errorTitle="Falsches Mass" error="Muss zwischen 30 und 60 mm sein" sqref="D22" xr:uid="{10FAEC07-CD5E-44BC-A144-F8F7CF6B42C7}">
      <formula1>30</formula1>
      <formula2>60</formula2>
    </dataValidation>
    <dataValidation type="whole" allowBlank="1" showInputMessage="1" showErrorMessage="1" errorTitle="Falsches Mass" error="Muss zwischen 6 und 25 mm sein" sqref="D24" xr:uid="{2CCA59FA-CC2A-4391-95A9-AD3E34314EA3}">
      <formula1>6</formula1>
      <formula2>25</formula2>
    </dataValidation>
  </dataValidations>
  <hyperlinks>
    <hyperlink ref="B40:C41" location="Startseite!A1" display="Home" xr:uid="{39A87743-A50D-4E21-BF59-E284A97AC262}"/>
    <hyperlink ref="B37:C38" location="'Art J N'!A1" display="Zurück" xr:uid="{A8621EA8-AE70-4D0D-BC81-05F06917BA00}"/>
    <hyperlink ref="E37:F38" location="'1'!A1" display="Zurück" xr:uid="{DEC0AB1A-649B-4515-B363-DF26FBA29CAD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36557EEA-63E0-4D0A-A509-C3724D20054E}">
          <x14:formula1>
            <xm:f>Daten!$B$2:$B$3</xm:f>
          </x14:formula1>
          <xm:sqref>D29 D31 D33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9CA9-ABDE-46A5-871F-65DA316EBDE2}">
  <dimension ref="B3:X50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167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D13-31-6-10</f>
        <v>1453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D11+(2*D25)+10</f>
        <v>820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1.19146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29.7865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112</v>
      </c>
      <c r="D19" s="34">
        <v>120</v>
      </c>
      <c r="E19" s="1" t="s">
        <v>19</v>
      </c>
      <c r="F19" s="1" t="s">
        <v>113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28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31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30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D27+3</f>
        <v>9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(2*U13)-D19</f>
        <v>1520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35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U27</f>
        <v>1520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 t="str">
        <f>IF(U30&lt;2501,Daten!L24,IF(U30&lt;3501,Daten!L25,0))</f>
        <v>057.3112.250</v>
      </c>
      <c r="W31" s="5" t="str">
        <f>IF(U30&lt;2501,Daten!M24,IF(U30&lt;3501,Daten!M25,"siehe Katlaog"))</f>
        <v>Laufschiene Aluminium, eloxiert, gleocht 2500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ht="30.75" customHeight="1" x14ac:dyDescent="0.25">
      <c r="B34" s="151" t="s">
        <v>162</v>
      </c>
      <c r="C34" s="152"/>
      <c r="D34" s="43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U30</f>
        <v>1520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U25+52</f>
        <v>61</v>
      </c>
      <c r="V36" s="5" t="s">
        <v>19</v>
      </c>
      <c r="W36" s="5" t="s">
        <v>52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 t="str">
        <f>IF(U34&lt;2501,Daten!L27,IF(U34&lt;3501,Daten!L28,Daten!L10))</f>
        <v>057.3113.250</v>
      </c>
      <c r="W38" s="5" t="str">
        <f>IF(U34&lt;2501,Daten!M27,IF(U34&lt;3501,Daten!M28,Daten!L10))</f>
        <v>Clip-Blende, Aluminium, eloxiert 2500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U13-25</f>
        <v>795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U13-5</f>
        <v>815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IF(U13&lt;931,Daten!I8,IF(U13&lt;1051,Daten!I9,IF(U13&lt;1181,Daten!I10,IF(U13&lt;1301,Daten!I11,Daten!I12))))</f>
        <v>30436</v>
      </c>
      <c r="W48" s="5" t="str">
        <f>IF(V48=30436,Daten!J8,IF(V48=30438,Daten!J9,IF(V48=30440,Daten!J10,IF(V48=30442,Daten!J11,Daten!J12))))</f>
        <v xml:space="preserve">Hawa Acoustics XS rechts </v>
      </c>
    </row>
    <row r="50" spans="10:10" x14ac:dyDescent="0.25">
      <c r="J50" s="19"/>
    </row>
  </sheetData>
  <sheetProtection sheet="1" objects="1" scenarios="1"/>
  <mergeCells count="9">
    <mergeCell ref="B43:C44"/>
    <mergeCell ref="B3:M5"/>
    <mergeCell ref="B7:M7"/>
    <mergeCell ref="B9:F9"/>
    <mergeCell ref="B23:F23"/>
    <mergeCell ref="B30:F30"/>
    <mergeCell ref="B40:C41"/>
    <mergeCell ref="E40:F41"/>
    <mergeCell ref="B34:C34"/>
  </mergeCells>
  <dataValidations count="8">
    <dataValidation type="whole" allowBlank="1" showInputMessage="1" showErrorMessage="1" errorTitle="Falsches Mass" error="Muss zwischen 30 und 60 mm sein" sqref="D25" xr:uid="{EF5AFFFF-4FE3-4C95-A20F-5E7899072C93}">
      <formula1>30</formula1>
      <formula2>60</formula2>
    </dataValidation>
    <dataValidation type="whole" allowBlank="1" showInputMessage="1" showErrorMessage="1" errorTitle="Falsches Mass" error="Muss zwischen 750 und 1250 mm sein" sqref="D28" xr:uid="{0A998B22-EDDE-4240-8457-2A817438EBF8}">
      <formula1>6</formula1>
      <formula2>25</formula2>
    </dataValidation>
    <dataValidation allowBlank="1" showInputMessage="1" showErrorMessage="1" errorTitle="Flasches Mass" error="Muss zwischen 44 und 50 mm sein" sqref="D17:D18" xr:uid="{4147823D-CC90-4E25-827E-BD2337051BED}"/>
    <dataValidation type="whole" allowBlank="1" showInputMessage="1" showErrorMessage="1" errorTitle="Flasches Mass" error="Muss zwischen 1500 und 2550 mm sein" sqref="D13" xr:uid="{BD672C59-6359-43E2-A92B-6FE4D649135E}">
      <formula1>1500</formula1>
      <formula2>2550</formula2>
    </dataValidation>
    <dataValidation type="whole" allowBlank="1" showInputMessage="1" showErrorMessage="1" errorTitle="Falsches Mass" error="Muss zwischen 750 und 1250 mm sein" sqref="D11" xr:uid="{A178633F-4938-4F36-8F17-D4B55961F2AA}">
      <formula1>750</formula1>
      <formula2>1250</formula2>
    </dataValidation>
    <dataValidation type="whole" operator="greaterThan" allowBlank="1" showInputMessage="1" showErrorMessage="1" errorTitle="Flasches Mass" error="Muss min. 120 mm sein" sqref="D19:D20" xr:uid="{D1E5832C-3025-4DFF-8A1D-A86DDFB7AB0A}">
      <formula1>119</formula1>
    </dataValidation>
    <dataValidation type="whole" allowBlank="1" showInputMessage="1" showErrorMessage="1" errorTitle="Falsches Mass" error="Muss zwischen 6 und 25 mm sein" sqref="D27" xr:uid="{BCA0ACC9-F87E-4563-9F2B-00FEBE1F525D}">
      <formula1>6</formula1>
      <formula2>25</formula2>
    </dataValidation>
    <dataValidation type="whole" allowBlank="1" showInputMessage="1" showErrorMessage="1" errorTitle="Flasches Mass" error="Muss zwischen 39 und 45 mm sein" sqref="D15" xr:uid="{E9EE51F1-7BE6-42E4-B715-370AA5B39C59}">
      <formula1>39</formula1>
      <formula2>45</formula2>
    </dataValidation>
  </dataValidations>
  <hyperlinks>
    <hyperlink ref="B43:C44" location="Startseite!A1" display="Home" xr:uid="{DE59588D-4D2A-42DC-A252-0E5207D7AF99}"/>
    <hyperlink ref="B40:C41" location="'Art P N '!A1" display="Zurück" xr:uid="{2A9BA91B-99A1-47AB-BA99-6194395131C2}"/>
    <hyperlink ref="E40:F41" location="'8'!A1" display="Zum Plan " xr:uid="{5EE1929D-2FA4-49EB-9D05-371EF22BD9A4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4EF3EE87-6909-49F8-A851-46891D461BCC}">
          <x14:formula1>
            <xm:f>Daten!$B$2:$B$3</xm:f>
          </x14:formula1>
          <xm:sqref>D32 D36 D34</xm:sqref>
        </x14:dataValidation>
        <x14:dataValidation type="list" allowBlank="1" showInputMessage="1" showErrorMessage="1" xr:uid="{F2A52176-5F66-4834-BE5C-7D9AD62D7AC9}">
          <x14:formula1>
            <xm:f>Daten!$B$6:$B$7</xm:f>
          </x14:formula1>
          <xm:sqref>D21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A6CE8-2115-4512-B36A-ED69C6009307}">
  <sheetPr>
    <pageSetUpPr fitToPage="1"/>
  </sheetPr>
  <dimension ref="C2:AD74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N R T '!U25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N R T 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N R T '!U11</f>
        <v>1453</v>
      </c>
      <c r="I10" s="18" t="s">
        <v>19</v>
      </c>
      <c r="Z10" s="32">
        <f>IF('P P N R T '!D21="Porta 60",Daten!F4,IF('P P N R T '!D21="Porta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N R T '!V48</f>
        <v>30436</v>
      </c>
      <c r="AA11" s="21">
        <v>1</v>
      </c>
      <c r="AB11" s="21" t="str">
        <f>'P P N R T '!W48</f>
        <v xml:space="preserve">Hawa Acoustics XS rechts 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N R T '!U44</f>
        <v>795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N R T '!U46</f>
        <v>815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N R T '!V31</f>
        <v>057.3112.250</v>
      </c>
      <c r="AA15" s="21">
        <v>1</v>
      </c>
      <c r="AB15" s="21" t="str">
        <f>'P P N R T '!W31</f>
        <v>Laufschiene Aluminium, eloxiert, gleocht 2500 mm</v>
      </c>
      <c r="AC15" s="21"/>
      <c r="AD15" s="21"/>
    </row>
    <row r="16" spans="6:30" x14ac:dyDescent="0.25">
      <c r="Z16" s="32"/>
      <c r="AA16" s="21"/>
      <c r="AB16" s="21"/>
      <c r="AC16" s="21"/>
      <c r="AD16" s="21"/>
    </row>
    <row r="17" spans="19:30" x14ac:dyDescent="0.25">
      <c r="Z17" s="33" t="s">
        <v>91</v>
      </c>
      <c r="AA17" s="22"/>
      <c r="AB17" s="22"/>
      <c r="AC17" s="22"/>
      <c r="AD17" s="22"/>
    </row>
    <row r="18" spans="19:30" x14ac:dyDescent="0.25">
      <c r="Z18" s="32" t="str">
        <f>'P P N R T '!V38</f>
        <v>057.3113.250</v>
      </c>
      <c r="AA18" s="21">
        <f>IF('P P N R T '!D32="JA",1,0)</f>
        <v>1</v>
      </c>
      <c r="AB18" s="21" t="str">
        <f>'P P N R T '!W38</f>
        <v>Clip-Blende, Aluminium, eloxiert 2500 mm</v>
      </c>
      <c r="AC18" s="21"/>
      <c r="AD18" s="21"/>
    </row>
    <row r="19" spans="19:30" x14ac:dyDescent="0.25">
      <c r="Z19" s="32">
        <f>IF('P P N R T '!D34="JA",Daten!L30,0)</f>
        <v>30485</v>
      </c>
      <c r="AA19" s="21">
        <f>IF('P P N R T '!D34="JA",1,0)</f>
        <v>1</v>
      </c>
      <c r="AB19" s="21" t="str">
        <f>IF('P P N R T '!D34="Ja",Daten!M30,0)</f>
        <v>Blendenendstück Kunststoff, anthrazit, 95 mm</v>
      </c>
      <c r="AC19" s="21"/>
      <c r="AD19" s="21"/>
    </row>
    <row r="25" spans="19:30" x14ac:dyDescent="0.25">
      <c r="S25" s="16" t="s">
        <v>63</v>
      </c>
      <c r="T25" s="17">
        <f>T48-10</f>
        <v>20</v>
      </c>
      <c r="U25" s="18" t="s">
        <v>19</v>
      </c>
    </row>
    <row r="48" spans="3:21" x14ac:dyDescent="0.25">
      <c r="C48" s="16" t="s">
        <v>59</v>
      </c>
      <c r="D48" s="17">
        <f>'P P N R T '!U30</f>
        <v>1520</v>
      </c>
      <c r="E48" s="18" t="s">
        <v>19</v>
      </c>
      <c r="K48" s="16" t="s">
        <v>56</v>
      </c>
      <c r="L48" s="17">
        <f>'P P N R T '!D11</f>
        <v>750</v>
      </c>
      <c r="M48" s="18" t="s">
        <v>19</v>
      </c>
      <c r="S48" s="16" t="s">
        <v>57</v>
      </c>
      <c r="T48" s="17">
        <f>'P P N R T '!D25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N R T '!U13</f>
        <v>820</v>
      </c>
      <c r="M50" s="18" t="s">
        <v>19</v>
      </c>
      <c r="S50" s="16" t="s">
        <v>58</v>
      </c>
      <c r="T50" s="17">
        <f>'P P N R T '!D27</f>
        <v>6</v>
      </c>
      <c r="U50" s="18" t="s">
        <v>19</v>
      </c>
    </row>
    <row r="62" spans="3:21" x14ac:dyDescent="0.25">
      <c r="C62" s="16" t="s">
        <v>61</v>
      </c>
      <c r="D62" s="17">
        <f>'P P N R T '!U34</f>
        <v>1520</v>
      </c>
      <c r="E62" s="18" t="s">
        <v>19</v>
      </c>
      <c r="K62" s="16" t="s">
        <v>114</v>
      </c>
      <c r="L62" s="17">
        <f>'P P N R T '!D19</f>
        <v>120</v>
      </c>
      <c r="M62" s="18" t="s">
        <v>19</v>
      </c>
    </row>
    <row r="63" spans="3:21" ht="6" customHeight="1" x14ac:dyDescent="0.25"/>
    <row r="64" spans="3:21" ht="6" customHeight="1" x14ac:dyDescent="0.25"/>
    <row r="65" spans="3:5" x14ac:dyDescent="0.25">
      <c r="C65" s="16" t="s">
        <v>69</v>
      </c>
      <c r="D65" s="17">
        <f>H6+53</f>
        <v>62</v>
      </c>
      <c r="E65" s="18" t="s">
        <v>19</v>
      </c>
    </row>
    <row r="70" spans="3:5" x14ac:dyDescent="0.25">
      <c r="C70" s="70" t="s">
        <v>16</v>
      </c>
      <c r="D70" s="71"/>
    </row>
    <row r="71" spans="3:5" x14ac:dyDescent="0.25">
      <c r="C71" s="72"/>
      <c r="D71" s="73"/>
    </row>
    <row r="73" spans="3:5" x14ac:dyDescent="0.25">
      <c r="C73" s="70" t="s">
        <v>8</v>
      </c>
      <c r="D73" s="71"/>
    </row>
    <row r="74" spans="3:5" x14ac:dyDescent="0.25">
      <c r="C74" s="72"/>
      <c r="D74" s="73"/>
    </row>
  </sheetData>
  <sheetProtection sheet="1" objects="1" scenarios="1"/>
  <mergeCells count="2">
    <mergeCell ref="C70:D71"/>
    <mergeCell ref="C73:D74"/>
  </mergeCells>
  <hyperlinks>
    <hyperlink ref="C73:D74" location="Startseite!A1" display="Home" xr:uid="{3D7EF249-E44D-47A2-90BF-1C71BAD31F33}"/>
    <hyperlink ref="C70:D71" location="'P J N R T '!A1" display="Zurück" xr:uid="{77101C0B-26A5-4205-98B7-AE4D2C2CACAE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D195-1966-4A37-A94C-0651CC960D38}">
  <sheetPr>
    <tabColor theme="4" tint="0.79998168889431442"/>
  </sheetPr>
  <dimension ref="B3:L24"/>
  <sheetViews>
    <sheetView zoomScale="85" zoomScaleNormal="85" workbookViewId="0">
      <selection activeCell="R64" sqref="R64"/>
    </sheetView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4" spans="2:12" x14ac:dyDescent="0.25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10"/>
    </row>
    <row r="5" spans="2:12" x14ac:dyDescent="0.2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3"/>
    </row>
    <row r="7" spans="2:12" ht="18.75" x14ac:dyDescent="0.3">
      <c r="B7" s="114" t="s">
        <v>117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99" t="s">
        <v>12</v>
      </c>
      <c r="C9" s="100"/>
      <c r="E9" s="99" t="s">
        <v>13</v>
      </c>
      <c r="F9" s="100"/>
      <c r="H9" s="99" t="s">
        <v>14</v>
      </c>
      <c r="I9" s="100"/>
      <c r="K9" s="99" t="s">
        <v>15</v>
      </c>
      <c r="L9" s="100"/>
    </row>
    <row r="10" spans="2:12" x14ac:dyDescent="0.25">
      <c r="B10" s="101"/>
      <c r="C10" s="102"/>
      <c r="E10" s="101"/>
      <c r="F10" s="102"/>
      <c r="H10" s="101"/>
      <c r="I10" s="102"/>
      <c r="K10" s="101"/>
      <c r="L10" s="102"/>
    </row>
    <row r="11" spans="2:12" x14ac:dyDescent="0.25">
      <c r="B11" s="101"/>
      <c r="C11" s="102"/>
      <c r="E11" s="101"/>
      <c r="F11" s="102"/>
      <c r="H11" s="101"/>
      <c r="I11" s="102"/>
      <c r="K11" s="101"/>
      <c r="L11" s="102"/>
    </row>
    <row r="12" spans="2:12" x14ac:dyDescent="0.25">
      <c r="B12" s="101"/>
      <c r="C12" s="102"/>
      <c r="E12" s="101"/>
      <c r="F12" s="102"/>
      <c r="H12" s="101"/>
      <c r="I12" s="102"/>
      <c r="K12" s="101"/>
      <c r="L12" s="102"/>
    </row>
    <row r="13" spans="2:12" x14ac:dyDescent="0.25">
      <c r="B13" s="101"/>
      <c r="C13" s="102"/>
      <c r="E13" s="101"/>
      <c r="F13" s="102"/>
      <c r="H13" s="101"/>
      <c r="I13" s="102"/>
      <c r="K13" s="101"/>
      <c r="L13" s="102"/>
    </row>
    <row r="14" spans="2:12" x14ac:dyDescent="0.25">
      <c r="B14" s="101"/>
      <c r="C14" s="102"/>
      <c r="E14" s="101"/>
      <c r="F14" s="102"/>
      <c r="H14" s="101"/>
      <c r="I14" s="102"/>
      <c r="K14" s="101"/>
      <c r="L14" s="102"/>
    </row>
    <row r="15" spans="2:12" x14ac:dyDescent="0.25">
      <c r="B15" s="101"/>
      <c r="C15" s="102"/>
      <c r="E15" s="101"/>
      <c r="F15" s="102"/>
      <c r="H15" s="101"/>
      <c r="I15" s="102"/>
      <c r="K15" s="101"/>
      <c r="L15" s="102"/>
    </row>
    <row r="16" spans="2:12" x14ac:dyDescent="0.25">
      <c r="B16" s="101"/>
      <c r="C16" s="102"/>
      <c r="E16" s="101"/>
      <c r="F16" s="102"/>
      <c r="H16" s="101"/>
      <c r="I16" s="102"/>
      <c r="K16" s="101"/>
      <c r="L16" s="102"/>
    </row>
    <row r="17" spans="2:12" x14ac:dyDescent="0.25">
      <c r="B17" s="101"/>
      <c r="C17" s="102"/>
      <c r="E17" s="101"/>
      <c r="F17" s="102"/>
      <c r="H17" s="101"/>
      <c r="I17" s="102"/>
      <c r="K17" s="101"/>
      <c r="L17" s="102"/>
    </row>
    <row r="18" spans="2:12" x14ac:dyDescent="0.25">
      <c r="B18" s="103"/>
      <c r="C18" s="104"/>
      <c r="E18" s="103"/>
      <c r="F18" s="104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B20:C21"/>
    <mergeCell ref="B23:C24"/>
    <mergeCell ref="B3:L5"/>
    <mergeCell ref="B7:L7"/>
    <mergeCell ref="B9:C18"/>
    <mergeCell ref="E9:F18"/>
    <mergeCell ref="H9:I18"/>
    <mergeCell ref="K9:L18"/>
  </mergeCells>
  <hyperlinks>
    <hyperlink ref="B23:C24" location="Startseite!A1" display="Home" xr:uid="{64C8368E-920F-43EB-A0C3-2AC5B00B9C94}"/>
    <hyperlink ref="B20:C21" location="'Situation P'!A1" display="Zurück" xr:uid="{EDD0AD8B-6E87-4976-8DDA-D75D648ADA68}"/>
    <hyperlink ref="B9:C18" location="'P P B L G '!A1" display="'P P B L G '!A1" xr:uid="{5057755F-B76A-4A4E-86FE-A063D281113F}"/>
    <hyperlink ref="E9:F18" location="'P P B L T '!A1" display="'P P B L T '!A1" xr:uid="{5CED815E-09DC-4221-8A19-F51E298F0818}"/>
    <hyperlink ref="H9:I18" location="'P P B R G '!A1" display="'P P B R G '!A1" xr:uid="{6DBA0072-1D5D-4028-9321-C9552A0E385C}"/>
    <hyperlink ref="K9:L18" location="'P P B R T '!A1" display="'P P B R T '!A1" xr:uid="{A3EC3A53-8A1D-4DC5-8F27-7329E084181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F16A-0872-416D-8EE7-44EF68316471}">
  <dimension ref="B3:X50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D13+D25+6+U23</f>
        <v>1567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D11+D25+120</f>
        <v>900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1.3680000000000001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34.200000000000003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G22" s="150"/>
      <c r="H22" s="150"/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119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31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30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D27+3</f>
        <v>9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(2*U15)-120</f>
        <v>1680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35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U27</f>
        <v>1680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 t="str">
        <f>IF(U30&lt;2501,Daten!L24,IF(U30&lt;3501,Daten!L25,0))</f>
        <v>057.3112.250</v>
      </c>
      <c r="W31" s="5" t="str">
        <f>IF(U30&lt;2501,Daten!M24,IF(U30&lt;3501,Daten!M25,"siehe Katlaog"))</f>
        <v>Laufschiene Aluminium, eloxiert, gleocht 2500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ht="28.5" customHeight="1" x14ac:dyDescent="0.25">
      <c r="B34" s="151" t="s">
        <v>162</v>
      </c>
      <c r="C34" s="152"/>
      <c r="D34" s="43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U30</f>
        <v>1680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U25+52</f>
        <v>61</v>
      </c>
      <c r="V36" s="5" t="s">
        <v>19</v>
      </c>
      <c r="W36" s="5" t="s">
        <v>52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 t="str">
        <f>IF(U34&lt;2501,Daten!L27,IF(U34&lt;3501,Daten!L28,Daten!L10))</f>
        <v>057.3113.250</v>
      </c>
      <c r="W38" s="5" t="str">
        <f>IF(U34&lt;2501,Daten!M27,IF(U34&lt;3501,Daten!M28,Daten!L10))</f>
        <v>Clip-Blende, Aluminium, eloxiert 2500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ht="15.75" x14ac:dyDescent="0.25">
      <c r="B40" s="70" t="s">
        <v>16</v>
      </c>
      <c r="C40" s="71"/>
      <c r="D40" s="25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ht="15.75" x14ac:dyDescent="0.25">
      <c r="B41" s="72"/>
      <c r="C41" s="73"/>
      <c r="D41" s="25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U15-25</f>
        <v>875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U15-5</f>
        <v>895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IF(U15&lt;931,Daten!F8,IF(U15&lt;1051,Daten!F9,IF(U15&lt;1181,Daten!F10,IF(U15&lt;1301,Daten!F11,Daten!F12))))</f>
        <v>30437</v>
      </c>
      <c r="W48" s="5" t="str">
        <f>IF(V48=30437,Daten!G8,IF(V48=30439,Daten!G9,IF(V48=30441,Daten!G10,IF(V48=30443,Daten!G11,Daten!G12))))</f>
        <v>Hawa Acoustics XS links</v>
      </c>
    </row>
    <row r="50" spans="10:10" x14ac:dyDescent="0.25">
      <c r="J50" s="19"/>
    </row>
  </sheetData>
  <sheetProtection sheet="1" objects="1" scenarios="1"/>
  <mergeCells count="10">
    <mergeCell ref="B34:C34"/>
    <mergeCell ref="B40:C41"/>
    <mergeCell ref="E40:F41"/>
    <mergeCell ref="B43:C44"/>
    <mergeCell ref="B3:M5"/>
    <mergeCell ref="B7:M7"/>
    <mergeCell ref="B9:F9"/>
    <mergeCell ref="G22:H22"/>
    <mergeCell ref="B23:F23"/>
    <mergeCell ref="B30:F30"/>
  </mergeCells>
  <conditionalFormatting sqref="D15">
    <cfRule type="expression" dxfId="7" priority="1">
      <formula>$D$15&gt;2550</formula>
    </cfRule>
  </conditionalFormatting>
  <dataValidations count="8">
    <dataValidation type="whole" allowBlank="1" showInputMessage="1" showErrorMessage="1" errorTitle="Falsches Mass" error="Muss zwischen 750 und 1250 mm sein" sqref="D11" xr:uid="{91B23072-6CA4-4898-9C7E-55ED94A9A97F}">
      <formula1>750</formula1>
      <formula2>1250</formula2>
    </dataValidation>
    <dataValidation type="whole" allowBlank="1" showInputMessage="1" showErrorMessage="1" errorTitle="Flasches Mass" error="Muss zwischen 1500 und 2550 mm sein" sqref="D15" xr:uid="{6527FF5E-518D-4CAF-AA68-46EF3D9220A0}">
      <formula1>1500</formula1>
      <formula2>2550</formula2>
    </dataValidation>
    <dataValidation allowBlank="1" showInputMessage="1" showErrorMessage="1" errorTitle="Flasches Mass" error="Muss zwischen 44 und 50 mm sein" sqref="D19" xr:uid="{65591152-484D-4951-9BE6-B3A05CF7F95F}"/>
    <dataValidation type="whole" allowBlank="1" showInputMessage="1" showErrorMessage="1" errorTitle="Falsches Mass" error="Muss zwischen 750 und 1250 mm sein" sqref="D28" xr:uid="{48FBE82C-E3A3-4819-96EB-AC309F08A7DD}">
      <formula1>6</formula1>
      <formula2>25</formula2>
    </dataValidation>
    <dataValidation type="whole" allowBlank="1" showInputMessage="1" showErrorMessage="1" errorTitle="Falsches Mass" error="Muss zwischen 30 und 60 mm sein" sqref="D25" xr:uid="{804898D1-F64D-4D61-8C4A-3C9593BEB04F}">
      <formula1>30</formula1>
      <formula2>60</formula2>
    </dataValidation>
    <dataValidation type="whole" allowBlank="1" showInputMessage="1" showErrorMessage="1" errorTitle="Falsches Mass" error="Muss zwischen 6 und 25 mm sein" sqref="D27" xr:uid="{08A67E5C-92E4-4E3C-AA7D-A3708FD2E6C4}">
      <formula1>6</formula1>
      <formula2>25</formula2>
    </dataValidation>
    <dataValidation allowBlank="1" showInputMessage="1" showErrorMessage="1" errorTitle="Flasches Mass" error="Muss zwischen 1500 und 2550 mm sein" sqref="D13" xr:uid="{AA4A6414-483B-44BC-9966-53AA86356A19}"/>
    <dataValidation type="whole" allowBlank="1" showInputMessage="1" showErrorMessage="1" errorTitle="Flasches Mass" error="Muss zwischen 39 und 45 mm sein" sqref="D17" xr:uid="{EDE2191E-969B-4D4B-ABC7-982C75109B8A}">
      <formula1>39</formula1>
      <formula2>45</formula2>
    </dataValidation>
  </dataValidations>
  <hyperlinks>
    <hyperlink ref="B43:C44" location="Startseite!A1" display="Home" xr:uid="{81E31AF4-FF68-46A5-9E68-0CD6606F2A30}"/>
    <hyperlink ref="B40:C41" location="'Art P B '!A1" display="Zurück" xr:uid="{9BCBE7EE-A5C4-431F-901E-7A090324E6F1}"/>
    <hyperlink ref="E40:F41" location="'23'!A1" display="Zum Plan " xr:uid="{1B828896-36B5-4B67-90D1-8C55D9A0EC39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5932936-86E8-4B49-ABB1-5D2E8DA8A72E}">
          <x14:formula1>
            <xm:f>Daten!$B$6:$B$7</xm:f>
          </x14:formula1>
          <xm:sqref>D21</xm:sqref>
        </x14:dataValidation>
        <x14:dataValidation type="list" allowBlank="1" showInputMessage="1" showErrorMessage="1" errorTitle="Falsches Mass" error="Muss zwischen 750 und 1250 mm sein" xr:uid="{2E4BC8F7-5306-4A98-8EB2-C5F3487FB98A}">
          <x14:formula1>
            <xm:f>Daten!$B$2:$B$3</xm:f>
          </x14:formula1>
          <xm:sqref>D32 D34 D36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7B1B-7B29-4231-B326-2F0D6AF4B49A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2.570312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B L G '!U25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B L G '!D15</f>
        <v>1567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B L G '!U11</f>
        <v>1520</v>
      </c>
      <c r="I10" s="18" t="s">
        <v>19</v>
      </c>
      <c r="Z10" s="32">
        <f>IF('P P B L G '!D21="Porta 60",Daten!F4,IF('P P B L G '!D21="Porta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B L G '!V48</f>
        <v>30437</v>
      </c>
      <c r="AA11" s="21">
        <v>1</v>
      </c>
      <c r="AB11" s="21" t="str">
        <f>'P P B L G '!W48</f>
        <v>Hawa Acoustics XS links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B L G '!U44</f>
        <v>875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B L G '!U46</f>
        <v>895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B L G '!V31</f>
        <v>057.3112.250</v>
      </c>
      <c r="AA15" s="21">
        <v>1</v>
      </c>
      <c r="AB15" s="21" t="str">
        <f>'P P B L G '!W31</f>
        <v>Laufschiene Aluminium, eloxiert, gleocht 2500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32" t="str">
        <f>'P P B L G '!V38</f>
        <v>057.3113.250</v>
      </c>
      <c r="AA18" s="21">
        <f>IF('P P B L G '!D32="JA",1,0)</f>
        <v>1</v>
      </c>
      <c r="AB18" s="21" t="str">
        <f>'P P B L G '!W38</f>
        <v>Clip-Blende, Aluminium, eloxiert 2500 mm</v>
      </c>
      <c r="AC18" s="21"/>
      <c r="AD18" s="21"/>
    </row>
    <row r="19" spans="11:30" x14ac:dyDescent="0.25">
      <c r="Z19" s="32">
        <f>IF('P P B L G '!D34="JA",Daten!L30,0)</f>
        <v>30485</v>
      </c>
      <c r="AA19" s="21">
        <f>IF('P P B L G '!D34="JA",1,0)</f>
        <v>1</v>
      </c>
      <c r="AB19" s="21" t="str">
        <f>IF('P P B L G '!D34="Ja",Daten!M30,0)</f>
        <v>Blendenendstück Kunststoff, anthrazit, 95 mm</v>
      </c>
      <c r="AC19" s="21"/>
      <c r="AD19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  <c r="T25" s="16" t="s">
        <v>64</v>
      </c>
      <c r="U25" s="17">
        <f>126-T48</f>
        <v>96</v>
      </c>
      <c r="V25" s="18" t="s">
        <v>19</v>
      </c>
    </row>
    <row r="48" spans="3:21" x14ac:dyDescent="0.25">
      <c r="C48" s="16" t="s">
        <v>59</v>
      </c>
      <c r="D48" s="17">
        <f>'P P B L G '!U30</f>
        <v>1680</v>
      </c>
      <c r="E48" s="18" t="s">
        <v>19</v>
      </c>
      <c r="K48" s="16" t="s">
        <v>56</v>
      </c>
      <c r="L48" s="17">
        <f>'P P B L G '!D11</f>
        <v>750</v>
      </c>
      <c r="M48" s="18" t="s">
        <v>19</v>
      </c>
      <c r="S48" s="16" t="s">
        <v>57</v>
      </c>
      <c r="T48" s="17">
        <f>'P P B L G '!D25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B L G '!U15</f>
        <v>900</v>
      </c>
      <c r="M50" s="18" t="s">
        <v>19</v>
      </c>
      <c r="S50" s="16" t="s">
        <v>58</v>
      </c>
      <c r="T50" s="17">
        <f>'P P B L G '!D27</f>
        <v>6</v>
      </c>
      <c r="U50" s="18" t="s">
        <v>19</v>
      </c>
    </row>
    <row r="62" spans="3:21" x14ac:dyDescent="0.25">
      <c r="C62" s="16" t="s">
        <v>61</v>
      </c>
      <c r="D62" s="17">
        <f>'P P B L G '!U34</f>
        <v>1680</v>
      </c>
      <c r="E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H6+52</f>
        <v>61</v>
      </c>
      <c r="E64" s="18" t="s">
        <v>19</v>
      </c>
    </row>
    <row r="69" spans="3:4" x14ac:dyDescent="0.25">
      <c r="C69" s="70" t="s">
        <v>16</v>
      </c>
      <c r="D69" s="71"/>
    </row>
    <row r="70" spans="3:4" x14ac:dyDescent="0.25">
      <c r="C70" s="72"/>
      <c r="D70" s="73"/>
    </row>
    <row r="72" spans="3:4" x14ac:dyDescent="0.25">
      <c r="C72" s="70" t="s">
        <v>8</v>
      </c>
      <c r="D72" s="71"/>
    </row>
    <row r="73" spans="3:4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C35515CA-1272-4ED4-8C72-7FCF7961EF27}"/>
    <hyperlink ref="C69:D70" location="'P P B L G '!A1" display="Zurück" xr:uid="{9F21359E-FF73-4694-AD77-1A52A634D540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4719-7B32-41E9-B42B-0D6C75DB94C2}">
  <dimension ref="B3:X52"/>
  <sheetViews>
    <sheetView zoomScale="85" zoomScaleNormal="85" workbookViewId="0">
      <selection activeCell="F15" sqref="F15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D13+D27+6+U25</f>
        <v>1567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D11+(2*D27)+10</f>
        <v>820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1.2464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31.16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34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26" t="s">
        <v>164</v>
      </c>
      <c r="D23" s="42" t="s">
        <v>154</v>
      </c>
      <c r="F23" s="26" t="str">
        <f>IF(D23="Porta 100","maximal 100 Kg Türgewicht",IF(D23="Porta 60","maximal 60 Kg Türgewicht",0))</f>
        <v>maximal 100 Kg Türgewicht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ht="30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6" t="s">
        <v>47</v>
      </c>
      <c r="V24" s="5"/>
      <c r="W24" s="5"/>
    </row>
    <row r="25" spans="2:23" x14ac:dyDescent="0.25">
      <c r="B25" s="126" t="s">
        <v>119</v>
      </c>
      <c r="C25" s="127"/>
      <c r="D25" s="127"/>
      <c r="E25" s="127"/>
      <c r="F25" s="128"/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v>31</v>
      </c>
      <c r="V25" s="5" t="s">
        <v>19</v>
      </c>
      <c r="W25" s="5" t="s">
        <v>2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30</v>
      </c>
      <c r="C27" s="1" t="s">
        <v>31</v>
      </c>
      <c r="D27" s="34">
        <v>30</v>
      </c>
      <c r="E27" s="1" t="s">
        <v>19</v>
      </c>
      <c r="F27" s="1" t="s">
        <v>34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D29+3</f>
        <v>9</v>
      </c>
      <c r="V27" s="5" t="s">
        <v>19</v>
      </c>
      <c r="W27" s="5" t="s">
        <v>67</v>
      </c>
    </row>
    <row r="28" spans="2:23" ht="6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2</v>
      </c>
      <c r="C29" s="1" t="s">
        <v>33</v>
      </c>
      <c r="D29" s="34">
        <v>6</v>
      </c>
      <c r="E29" s="1" t="s">
        <v>19</v>
      </c>
      <c r="F29" s="1" t="s">
        <v>32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(2*U15)-D21</f>
        <v>1520</v>
      </c>
      <c r="V29" s="5" t="s">
        <v>19</v>
      </c>
      <c r="W29" s="5" t="s">
        <v>48</v>
      </c>
    </row>
    <row r="30" spans="2:23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6" t="s">
        <v>49</v>
      </c>
      <c r="V31" s="5"/>
      <c r="W31" s="5"/>
    </row>
    <row r="32" spans="2:23" x14ac:dyDescent="0.25">
      <c r="B32" s="126" t="s">
        <v>35</v>
      </c>
      <c r="C32" s="127"/>
      <c r="D32" s="127"/>
      <c r="E32" s="127"/>
      <c r="F32" s="128"/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>
        <f>U29</f>
        <v>1520</v>
      </c>
      <c r="V32" s="5" t="s">
        <v>19</v>
      </c>
      <c r="W32" s="5" t="s">
        <v>48</v>
      </c>
    </row>
    <row r="33" spans="2:23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 t="str">
        <f>IF(U32&lt;2501,Daten!L24,IF(U32&lt;3501,Daten!L25,0))</f>
        <v>057.3112.250</v>
      </c>
      <c r="W33" s="5" t="str">
        <f>IF(U32&lt;2501,Daten!M24,IF(U32&lt;3501,Daten!M25,"siehe Katlaog"))</f>
        <v>Laufschiene Aluminium, eloxiert, gleocht 2500 mm</v>
      </c>
    </row>
    <row r="34" spans="2:23" x14ac:dyDescent="0.25">
      <c r="B34" s="1" t="s">
        <v>36</v>
      </c>
      <c r="D34" s="34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6" t="s">
        <v>101</v>
      </c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ht="30.75" customHeight="1" x14ac:dyDescent="0.25">
      <c r="B36" s="151" t="s">
        <v>162</v>
      </c>
      <c r="C36" s="152"/>
      <c r="D36" s="43" t="s">
        <v>40</v>
      </c>
      <c r="F36" s="1" t="s">
        <v>39</v>
      </c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U32</f>
        <v>1520</v>
      </c>
      <c r="V36" s="5" t="s">
        <v>19</v>
      </c>
      <c r="W36" s="5" t="s">
        <v>100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U27+52</f>
        <v>61</v>
      </c>
      <c r="V38" s="5" t="s">
        <v>19</v>
      </c>
      <c r="W38" s="5" t="s">
        <v>165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 t="str">
        <f>IF(U36&lt;2501,Daten!L27,IF(U36&lt;3501,Daten!L28,Daten!L10))</f>
        <v>057.3113.250</v>
      </c>
      <c r="W40" s="5" t="str">
        <f>IF(U36&lt;2501,Daten!M27,IF(U36&lt;3501,Daten!M28,Daten!L10))</f>
        <v>Clip-Blende, Aluminium, eloxiert 2500 mm</v>
      </c>
    </row>
    <row r="41" spans="2:23" ht="6" customHeight="1" x14ac:dyDescent="0.25"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0" t="s">
        <v>16</v>
      </c>
      <c r="C42" s="71"/>
      <c r="E42" s="70" t="s">
        <v>111</v>
      </c>
      <c r="F42" s="71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B43" s="72"/>
      <c r="C43" s="73"/>
      <c r="E43" s="72"/>
      <c r="F43" s="73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6" t="s">
        <v>53</v>
      </c>
      <c r="V44" s="5"/>
      <c r="W44" s="5"/>
    </row>
    <row r="45" spans="2:23" ht="6" customHeight="1" x14ac:dyDescent="0.25">
      <c r="B45" s="70" t="s">
        <v>8</v>
      </c>
      <c r="C45" s="71"/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B46" s="72"/>
      <c r="C46" s="73"/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U15-25</f>
        <v>795</v>
      </c>
      <c r="V46" s="5" t="s">
        <v>19</v>
      </c>
      <c r="W46" s="5" t="s">
        <v>110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>
        <f>U15-5</f>
        <v>815</v>
      </c>
      <c r="V48" s="5" t="s">
        <v>19</v>
      </c>
      <c r="W48" s="5" t="s">
        <v>54</v>
      </c>
    </row>
    <row r="49" spans="10:23" ht="6" customHeight="1" x14ac:dyDescent="0.25">
      <c r="J49" s="10"/>
      <c r="K49" s="11"/>
      <c r="L49" s="11"/>
      <c r="M49" s="11"/>
      <c r="N49" s="11"/>
      <c r="O49" s="11"/>
      <c r="P49" s="11"/>
      <c r="Q49" s="11"/>
      <c r="R49" s="12"/>
      <c r="S49" s="11"/>
      <c r="T49" s="5"/>
      <c r="U49" s="5"/>
      <c r="V49" s="5"/>
      <c r="W49" s="5"/>
    </row>
    <row r="50" spans="10:23" x14ac:dyDescent="0.25">
      <c r="J50" s="13"/>
      <c r="K50" s="14"/>
      <c r="L50" s="14"/>
      <c r="M50" s="14"/>
      <c r="N50" s="14"/>
      <c r="O50" s="14"/>
      <c r="P50" s="14"/>
      <c r="Q50" s="14"/>
      <c r="R50" s="15"/>
      <c r="S50" s="11"/>
      <c r="T50" s="5"/>
      <c r="U50" s="5"/>
      <c r="V50" s="5">
        <f>IF(U15&lt;931,Daten!F8,IF(U15&lt;1051,Daten!F9,IF(U15&lt;1181,Daten!F10,IF(U15&lt;1301,Daten!F11,Daten!F12))))</f>
        <v>30437</v>
      </c>
      <c r="W50" s="5" t="str">
        <f>IF(V50=30437,Daten!G8,IF(V50=30439,Daten!G9,IF(V50=30441,Daten!G10,IF(V50=30443,Daten!G11,Daten!G12))))</f>
        <v>Hawa Acoustics XS links</v>
      </c>
    </row>
    <row r="52" spans="10:23" x14ac:dyDescent="0.25">
      <c r="J52" s="19"/>
    </row>
  </sheetData>
  <sheetProtection sheet="1" objects="1" scenarios="1"/>
  <mergeCells count="9">
    <mergeCell ref="B42:C43"/>
    <mergeCell ref="E42:F43"/>
    <mergeCell ref="B45:C46"/>
    <mergeCell ref="B3:M5"/>
    <mergeCell ref="B7:M7"/>
    <mergeCell ref="B9:F9"/>
    <mergeCell ref="B25:F25"/>
    <mergeCell ref="B32:F32"/>
    <mergeCell ref="B36:C36"/>
  </mergeCells>
  <conditionalFormatting sqref="D15">
    <cfRule type="expression" dxfId="6" priority="1">
      <formula>$D$15&gt;2550</formula>
    </cfRule>
  </conditionalFormatting>
  <dataValidations disablePrompts="1" count="9">
    <dataValidation type="whole" allowBlank="1" showInputMessage="1" showErrorMessage="1" errorTitle="Falsches Mass" error="Muss zwischen 30 und 60 mm sein" sqref="D27" xr:uid="{306843FF-0270-4421-BFAC-2F1F374BBB8A}">
      <formula1>30</formula1>
      <formula2>60</formula2>
    </dataValidation>
    <dataValidation type="whole" allowBlank="1" showInputMessage="1" showErrorMessage="1" errorTitle="Falsches Mass" error="Muss zwischen 750 und 1250 mm sein" sqref="D30" xr:uid="{6DE6FB43-41D9-4A48-B875-AD0764CEDD27}">
      <formula1>6</formula1>
      <formula2>25</formula2>
    </dataValidation>
    <dataValidation allowBlank="1" showInputMessage="1" showErrorMessage="1" errorTitle="Flasches Mass" error="Muss zwischen 44 und 50 mm sein" sqref="D19:D20" xr:uid="{C29E9D9F-16D0-4BA3-BEFF-4F09392663DC}"/>
    <dataValidation type="whole" allowBlank="1" showInputMessage="1" showErrorMessage="1" errorTitle="Flasches Mass" error="Muss zwischen 1500 und 2550 mm sein" sqref="D15" xr:uid="{748789E1-85B7-4013-B37E-C584FB723560}">
      <formula1>1500</formula1>
      <formula2>2550</formula2>
    </dataValidation>
    <dataValidation type="whole" allowBlank="1" showInputMessage="1" showErrorMessage="1" errorTitle="Falsches Mass" error="Muss zwischen 750 und 1250 mm sein" sqref="D11" xr:uid="{B31D05A0-5D63-4BC1-A80A-F4AA0956CE7B}">
      <formula1>750</formula1>
      <formula2>1250</formula2>
    </dataValidation>
    <dataValidation type="whole" operator="greaterThan" allowBlank="1" showInputMessage="1" showErrorMessage="1" errorTitle="Flasches Mass" error="Muss min. 120 mm sein" sqref="D21:D22" xr:uid="{BBC939C7-BC8E-479D-9F59-65F7D4AA27B7}">
      <formula1>119</formula1>
    </dataValidation>
    <dataValidation type="whole" allowBlank="1" showInputMessage="1" showErrorMessage="1" errorTitle="Falsches Mass" error="Muss zwischen 6 und 25 mm sein" sqref="D29" xr:uid="{EC9E57F1-1F37-4AB4-AD07-99E794E9FED5}">
      <formula1>6</formula1>
      <formula2>25</formula2>
    </dataValidation>
    <dataValidation allowBlank="1" showInputMessage="1" showErrorMessage="1" errorTitle="Flasches Mass" error="Muss zwischen 1500 und 2550 mm sein" sqref="D13" xr:uid="{2282F038-C885-4814-B3A5-C0F981A96D6C}"/>
    <dataValidation type="whole" allowBlank="1" showInputMessage="1" showErrorMessage="1" errorTitle="Flasches Mass" error="Muss zwischen 39 und 45 mm sein" sqref="D17" xr:uid="{0FAF7AF1-581D-4D97-8BFB-F84CCDE68F68}">
      <formula1>39</formula1>
      <formula2>45</formula2>
    </dataValidation>
  </dataValidations>
  <hyperlinks>
    <hyperlink ref="B45:C46" location="Startseite!A1" display="Home" xr:uid="{1C3F36E1-4B1A-44B6-B7D4-07F13ADA6879}"/>
    <hyperlink ref="B42:C43" location="'Art P B '!A1" display="Zurück" xr:uid="{0304A492-88D5-4EFD-8C26-829AB431C6FC}"/>
    <hyperlink ref="E42:F43" location="'24'!A1" display="Zum Plan " xr:uid="{01E5D6FE-66C3-45A3-ADEB-1C0A16D9D003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C668211C-160D-4A9E-9521-6C0675258DEB}">
          <x14:formula1>
            <xm:f>Daten!$B$6:$B$7</xm:f>
          </x14:formula1>
          <xm:sqref>D23</xm:sqref>
        </x14:dataValidation>
        <x14:dataValidation type="list" allowBlank="1" showInputMessage="1" showErrorMessage="1" errorTitle="Falsches Mass" error="Muss zwischen 750 und 1250 mm sein" xr:uid="{C2E32D54-08B3-4CCF-98E3-145C11B876B9}">
          <x14:formula1>
            <xm:f>Daten!$B$2:$B$3</xm:f>
          </x14:formula1>
          <xm:sqref>D34 D38 D36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87EA4-5057-4464-B064-9355909310E6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5.71093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B L T '!U27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B L T '!D15</f>
        <v>1567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B L T '!U11</f>
        <v>1520</v>
      </c>
      <c r="I10" s="18" t="s">
        <v>19</v>
      </c>
      <c r="Z10" s="21">
        <f>IF('P P B L T '!D23="Porta 60",Daten!F4,IF('P P B L T '!D23="Porta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21">
        <f>'P P B L T '!V50</f>
        <v>30437</v>
      </c>
      <c r="AA11" s="21">
        <v>1</v>
      </c>
      <c r="AB11" s="21" t="str">
        <f>'P P B L T '!W50</f>
        <v>Hawa Acoustics XS links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P B L T '!U46</f>
        <v>795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P B L T '!U48</f>
        <v>815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 t="str">
        <f>'P P B L T '!V33</f>
        <v>057.3112.250</v>
      </c>
      <c r="AA15" s="21">
        <v>1</v>
      </c>
      <c r="AB15" s="21" t="str">
        <f>'P P B L T '!W33</f>
        <v>Laufschiene Aluminium, eloxiert, gleocht 2500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 t="str">
        <f>'P P B L T '!V40</f>
        <v>057.3113.250</v>
      </c>
      <c r="AA18" s="21">
        <f>IF('P P B L T '!D34="JA",1,0)</f>
        <v>1</v>
      </c>
      <c r="AB18" s="21" t="str">
        <f>'P P B L T '!W40</f>
        <v>Clip-Blende, Aluminium, eloxiert 2500 mm</v>
      </c>
      <c r="AC18" s="21"/>
      <c r="AD18" s="21"/>
    </row>
    <row r="19" spans="11:30" x14ac:dyDescent="0.25">
      <c r="Z19" s="21">
        <f>IF('P P B L T '!D36="JA",Daten!L30,0)</f>
        <v>30485</v>
      </c>
      <c r="AA19" s="21">
        <f>IF('P P B L T '!D36="JA",1,0)</f>
        <v>1</v>
      </c>
      <c r="AB19" s="21" t="str">
        <f>IF('P P B L T '!D36="Ja",Daten!M30,0)</f>
        <v>Blendenendstück Kunststoff, anthrazit, 95 mm</v>
      </c>
      <c r="AC19" s="21"/>
      <c r="AD19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</row>
    <row r="48" spans="3:21" x14ac:dyDescent="0.25">
      <c r="C48" s="16" t="s">
        <v>59</v>
      </c>
      <c r="D48" s="17">
        <f>'P P B L T '!U32</f>
        <v>1520</v>
      </c>
      <c r="E48" s="18" t="s">
        <v>19</v>
      </c>
      <c r="K48" s="16" t="s">
        <v>56</v>
      </c>
      <c r="L48" s="17">
        <f>'P P B L T '!D11</f>
        <v>750</v>
      </c>
      <c r="M48" s="18" t="s">
        <v>19</v>
      </c>
      <c r="S48" s="16" t="s">
        <v>57</v>
      </c>
      <c r="T48" s="17">
        <f>'P P B L T '!D27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B L T '!U15</f>
        <v>820</v>
      </c>
      <c r="M50" s="18" t="s">
        <v>19</v>
      </c>
      <c r="S50" s="16" t="s">
        <v>58</v>
      </c>
      <c r="T50" s="17">
        <f>'P P B L T '!D29</f>
        <v>6</v>
      </c>
      <c r="U50" s="18" t="s">
        <v>19</v>
      </c>
    </row>
    <row r="62" spans="3:21" x14ac:dyDescent="0.25">
      <c r="C62" s="16" t="s">
        <v>61</v>
      </c>
      <c r="D62" s="17">
        <f>'P P B L T '!U36</f>
        <v>1520</v>
      </c>
      <c r="E62" s="18" t="s">
        <v>19</v>
      </c>
      <c r="K62" s="16" t="s">
        <v>114</v>
      </c>
      <c r="L62" s="17">
        <f>'P P B L T '!D21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H6+53</f>
        <v>62</v>
      </c>
      <c r="E64" s="18" t="s">
        <v>19</v>
      </c>
    </row>
    <row r="69" spans="3:4" x14ac:dyDescent="0.25">
      <c r="C69" s="70" t="s">
        <v>16</v>
      </c>
      <c r="D69" s="71"/>
    </row>
    <row r="70" spans="3:4" x14ac:dyDescent="0.25">
      <c r="C70" s="72"/>
      <c r="D70" s="73"/>
    </row>
    <row r="72" spans="3:4" x14ac:dyDescent="0.25">
      <c r="C72" s="70" t="s">
        <v>8</v>
      </c>
      <c r="D72" s="71"/>
    </row>
    <row r="73" spans="3:4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06ECC7C2-4027-437B-A317-CA61633B84E4}"/>
    <hyperlink ref="C69:D70" location="'P P B L T '!A1" display="Zurück" xr:uid="{3085FFB6-DC6C-46E3-96F0-DBCC718B3F1C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2463-CD78-4DBB-B582-69E4CF878C94}">
  <dimension ref="B3:X50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147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D13+D25+6+U23</f>
        <v>1567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D11+D25+120</f>
        <v>900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1.3680000000000001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34.200000000000003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119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31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30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D27+3</f>
        <v>9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(2*U15)-120</f>
        <v>1680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35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U27</f>
        <v>1680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 t="str">
        <f>IF(U30&lt;2501,Daten!L24,IF(U30&lt;3501,Daten!L25,0))</f>
        <v>057.3112.250</v>
      </c>
      <c r="W31" s="5" t="str">
        <f>IF(U30&lt;2501,Daten!M24,IF(U30&lt;3501,Daten!M25,"siehe Katlaog"))</f>
        <v>Laufschiene Aluminium, eloxiert, gleocht 2500 mm</v>
      </c>
    </row>
    <row r="32" spans="2:23" x14ac:dyDescent="0.25">
      <c r="B32" s="1" t="s">
        <v>36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 t="s">
        <v>101</v>
      </c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ht="30" customHeight="1" x14ac:dyDescent="0.25">
      <c r="B34" s="151" t="s">
        <v>162</v>
      </c>
      <c r="C34" s="152"/>
      <c r="D34" s="44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U30</f>
        <v>1680</v>
      </c>
      <c r="V34" s="5" t="s">
        <v>19</v>
      </c>
      <c r="W34" s="5" t="s">
        <v>100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U25+52</f>
        <v>61</v>
      </c>
      <c r="V36" s="5" t="s">
        <v>19</v>
      </c>
      <c r="W36" s="5" t="s">
        <v>52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 t="str">
        <f>IF(U34&lt;2501,Daten!L27,IF(U34&lt;3501,Daten!L28,Daten!L10))</f>
        <v>057.3113.250</v>
      </c>
      <c r="W38" s="5" t="str">
        <f>IF(U34&lt;2501,Daten!M27,IF(U34&lt;3501,Daten!M28,Daten!L10))</f>
        <v>Clip-Blende, Aluminium, eloxiert 2500 mm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6" t="s">
        <v>53</v>
      </c>
      <c r="V42" s="5"/>
      <c r="W42" s="5"/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U15-25</f>
        <v>875</v>
      </c>
      <c r="V44" s="5" t="s">
        <v>19</v>
      </c>
      <c r="W44" s="5" t="s">
        <v>110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U15-5</f>
        <v>895</v>
      </c>
      <c r="V46" s="5" t="s">
        <v>19</v>
      </c>
      <c r="W46" s="5" t="s">
        <v>54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  <c r="T48" s="5"/>
      <c r="U48" s="5"/>
      <c r="V48" s="5">
        <f>IF(U15&lt;931,Daten!I8,IF(U15&lt;1051,Daten!I9,IF(U15&lt;1181,Daten!I10,IF(U15&lt;1301,Daten!I11,Daten!I12))))</f>
        <v>30436</v>
      </c>
      <c r="W48" s="5" t="str">
        <f>IF(V48=30436,Daten!J8,IF(V48=30438,Daten!J9,IF(V48=30440,Daten!J10,IF(V48=30442,Daten!J11,Daten!J12))))</f>
        <v xml:space="preserve">Hawa Acoustics XS rechts </v>
      </c>
    </row>
    <row r="50" spans="10:10" x14ac:dyDescent="0.25">
      <c r="J50" s="19"/>
    </row>
  </sheetData>
  <sheetProtection sheet="1" objects="1" scenarios="1"/>
  <mergeCells count="9">
    <mergeCell ref="B40:C41"/>
    <mergeCell ref="E40:F41"/>
    <mergeCell ref="B43:C44"/>
    <mergeCell ref="B3:M5"/>
    <mergeCell ref="B7:M7"/>
    <mergeCell ref="B9:F9"/>
    <mergeCell ref="B23:F23"/>
    <mergeCell ref="B30:F30"/>
    <mergeCell ref="B34:C34"/>
  </mergeCells>
  <conditionalFormatting sqref="D15">
    <cfRule type="expression" dxfId="5" priority="1">
      <formula>$D$15&gt;2550</formula>
    </cfRule>
  </conditionalFormatting>
  <dataValidations count="8">
    <dataValidation type="whole" allowBlank="1" showInputMessage="1" showErrorMessage="1" errorTitle="Falsches Mass" error="Muss zwischen 6 und 25 mm sein" sqref="D27" xr:uid="{E99D7098-48A5-4EC6-B139-B398479F67B6}">
      <formula1>6</formula1>
      <formula2>25</formula2>
    </dataValidation>
    <dataValidation type="whole" allowBlank="1" showInputMessage="1" showErrorMessage="1" errorTitle="Falsches Mass" error="Muss zwischen 30 und 60 mm sein" sqref="D25" xr:uid="{CFFA572D-CACC-40D8-9DB0-8435ADBED1EF}">
      <formula1>30</formula1>
      <formula2>60</formula2>
    </dataValidation>
    <dataValidation type="whole" allowBlank="1" showInputMessage="1" showErrorMessage="1" errorTitle="Falsches Mass" error="Muss zwischen 750 und 1250 mm sein" sqref="D28" xr:uid="{86D7A17D-64E1-49E6-A158-8285616ED451}">
      <formula1>6</formula1>
      <formula2>25</formula2>
    </dataValidation>
    <dataValidation allowBlank="1" showInputMessage="1" showErrorMessage="1" errorTitle="Flasches Mass" error="Muss zwischen 44 und 50 mm sein" sqref="D19:D20" xr:uid="{34617642-F6EA-4CD9-84AA-55E3A96AE8B8}"/>
    <dataValidation type="whole" allowBlank="1" showInputMessage="1" showErrorMessage="1" errorTitle="Flasches Mass" error="Muss zwischen 1500 und 2550 mm sein" sqref="D15" xr:uid="{7487C603-453C-4282-9FB2-DFA6BE7EE58F}">
      <formula1>1500</formula1>
      <formula2>2550</formula2>
    </dataValidation>
    <dataValidation type="whole" allowBlank="1" showInputMessage="1" showErrorMessage="1" errorTitle="Falsches Mass" error="Muss zwischen 750 und 1250 mm sein" sqref="D11" xr:uid="{A1FC1BF4-E214-42AF-90E9-992A5C46369D}">
      <formula1>750</formula1>
      <formula2>1250</formula2>
    </dataValidation>
    <dataValidation allowBlank="1" showInputMessage="1" showErrorMessage="1" errorTitle="Flasches Mass" error="Muss zwischen 1500 und 2550 mm sein" sqref="D13" xr:uid="{66B3A7DC-DEB1-434D-9762-42F10CB70F50}"/>
    <dataValidation type="whole" allowBlank="1" showInputMessage="1" showErrorMessage="1" errorTitle="Flasches Mass" error="Muss zwischen 39 und 45 mm sein" sqref="D17" xr:uid="{A1FB1BDE-6383-428C-B996-F29D0743BA67}">
      <formula1>39</formula1>
      <formula2>45</formula2>
    </dataValidation>
  </dataValidations>
  <hyperlinks>
    <hyperlink ref="B43:C44" location="Startseite!A1" display="Home" xr:uid="{77629B7B-9622-4845-ADF9-22F05DC4F94F}"/>
    <hyperlink ref="B40:C41" location="'Art P B '!A1" display="Zurück" xr:uid="{7B20E297-C827-42E8-9B0B-B0DDBF1EB1FF}"/>
    <hyperlink ref="E40:F41" location="'29'!A1" display="Zum Plan " xr:uid="{90D205D9-8DD8-46E5-A0C0-1371B94DF357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ED36EF3-27F1-43CA-B0CF-6D789DF3E731}">
          <x14:formula1>
            <xm:f>Daten!$B$6:$B$7</xm:f>
          </x14:formula1>
          <xm:sqref>D21</xm:sqref>
        </x14:dataValidation>
        <x14:dataValidation type="list" allowBlank="1" showInputMessage="1" showErrorMessage="1" errorTitle="Falsches Mass" error="Muss zwischen 750 und 1250 mm sein" xr:uid="{46152640-EA7D-42F7-A1BB-CC95CD0E0BCF}">
          <x14:formula1>
            <xm:f>Daten!$B$2:$B$3</xm:f>
          </x14:formula1>
          <xm:sqref>D32 D36 D34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D272-B909-40F5-A380-FC2DDDA79277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4.85546875" style="1" customWidth="1"/>
    <col min="7" max="8" width="11.42578125" style="1"/>
    <col min="9" max="9" width="4.5703125" style="1" bestFit="1" customWidth="1"/>
    <col min="10" max="10" width="5.285156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B R G '!U25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B R G '!D15</f>
        <v>1567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B R G '!U11</f>
        <v>1520</v>
      </c>
      <c r="I10" s="18" t="s">
        <v>19</v>
      </c>
      <c r="Z10" s="32">
        <f>IF('P P B R G '!D21="Porta 60",Daten!F4,IF('P P B R G '!D21="Porta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B R G '!V48</f>
        <v>30436</v>
      </c>
      <c r="AA11" s="21">
        <v>1</v>
      </c>
      <c r="AB11" s="21" t="str">
        <f>'P P B R G '!W48</f>
        <v xml:space="preserve">Hawa Acoustics XS rechts 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B R G '!U44</f>
        <v>875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B R G '!U46</f>
        <v>895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B R G '!V31</f>
        <v>057.3112.250</v>
      </c>
      <c r="AA15" s="21">
        <v>1</v>
      </c>
      <c r="AB15" s="21" t="str">
        <f>'P P B R G '!W31</f>
        <v>Laufschiene Aluminium, eloxiert, gleocht 2500 mm</v>
      </c>
      <c r="AC15" s="21"/>
      <c r="AD15" s="21"/>
    </row>
    <row r="16" spans="6:30" x14ac:dyDescent="0.25">
      <c r="Z16" s="32"/>
      <c r="AA16" s="21"/>
      <c r="AB16" s="21"/>
      <c r="AC16" s="21"/>
      <c r="AD16" s="21"/>
    </row>
    <row r="17" spans="11:30" x14ac:dyDescent="0.25">
      <c r="Z17" s="33" t="s">
        <v>91</v>
      </c>
      <c r="AA17" s="22"/>
      <c r="AB17" s="22"/>
      <c r="AC17" s="22"/>
      <c r="AD17" s="22"/>
    </row>
    <row r="18" spans="11:30" x14ac:dyDescent="0.25">
      <c r="Z18" s="32" t="str">
        <f>'P P B R G '!V38</f>
        <v>057.3113.250</v>
      </c>
      <c r="AA18" s="21">
        <f>IF('P P B R G '!D32="JA",1,0)</f>
        <v>1</v>
      </c>
      <c r="AB18" s="21" t="str">
        <f>'P P B R G '!W38</f>
        <v>Clip-Blende, Aluminium, eloxiert 2500 mm</v>
      </c>
      <c r="AC18" s="21"/>
      <c r="AD18" s="21"/>
    </row>
    <row r="19" spans="11:30" x14ac:dyDescent="0.25">
      <c r="Z19" s="32">
        <f>IF('P P B R G '!D34="JA",Daten!L30,0)</f>
        <v>30485</v>
      </c>
      <c r="AA19" s="21">
        <f>IF('P P B R G '!D34="JA",1,0)</f>
        <v>1</v>
      </c>
      <c r="AB19" s="21" t="str">
        <f>IF('P P B R G '!D34="Ja",Daten!M30,0)</f>
        <v>Blendenendstück Kunststoff, anthrazit, 95 mm</v>
      </c>
      <c r="AC19" s="21"/>
      <c r="AD19" s="21"/>
    </row>
    <row r="25" spans="11:30" x14ac:dyDescent="0.25">
      <c r="K25" s="16" t="s">
        <v>145</v>
      </c>
      <c r="L25" s="17">
        <f>126-T48</f>
        <v>96</v>
      </c>
      <c r="M25" s="17" t="s">
        <v>19</v>
      </c>
      <c r="N25" s="18"/>
      <c r="T25" s="16" t="s">
        <v>146</v>
      </c>
      <c r="U25" s="17">
        <f>T48-10</f>
        <v>20</v>
      </c>
      <c r="V25" s="18" t="s">
        <v>19</v>
      </c>
    </row>
    <row r="48" spans="3:21" x14ac:dyDescent="0.25">
      <c r="C48" s="16" t="s">
        <v>59</v>
      </c>
      <c r="D48" s="17">
        <f>'P P B R G '!U27</f>
        <v>1680</v>
      </c>
      <c r="E48" s="18" t="s">
        <v>19</v>
      </c>
      <c r="K48" s="16" t="s">
        <v>56</v>
      </c>
      <c r="L48" s="17">
        <f>'P P B R G '!D11</f>
        <v>750</v>
      </c>
      <c r="M48" s="18" t="s">
        <v>19</v>
      </c>
      <c r="S48" s="16" t="s">
        <v>57</v>
      </c>
      <c r="T48" s="17">
        <f>'P P B R G '!D25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B R G '!U15</f>
        <v>900</v>
      </c>
      <c r="M50" s="18" t="s">
        <v>19</v>
      </c>
      <c r="S50" s="16" t="s">
        <v>58</v>
      </c>
      <c r="T50" s="17">
        <f>'P P B R G '!D27</f>
        <v>6</v>
      </c>
      <c r="U50" s="18" t="s">
        <v>19</v>
      </c>
    </row>
    <row r="62" spans="3:21" x14ac:dyDescent="0.25">
      <c r="C62" s="16" t="s">
        <v>61</v>
      </c>
      <c r="D62" s="17">
        <f>'P P B R G '!U34</f>
        <v>1680</v>
      </c>
      <c r="E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H6+53</f>
        <v>62</v>
      </c>
      <c r="E64" s="18" t="s">
        <v>19</v>
      </c>
    </row>
    <row r="69" spans="3:4" x14ac:dyDescent="0.25">
      <c r="C69" s="70" t="s">
        <v>16</v>
      </c>
      <c r="D69" s="71"/>
    </row>
    <row r="70" spans="3:4" x14ac:dyDescent="0.25">
      <c r="C70" s="72"/>
      <c r="D70" s="73"/>
    </row>
    <row r="72" spans="3:4" x14ac:dyDescent="0.25">
      <c r="C72" s="70" t="s">
        <v>8</v>
      </c>
      <c r="D72" s="71"/>
    </row>
    <row r="73" spans="3:4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A7F7E82D-283A-4A2C-8667-930EAA084492}"/>
    <hyperlink ref="C69:D70" location="'P P B R G '!A1" display="Zurück" xr:uid="{3F9DFA71-1090-465E-87F8-1266051BD521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A2E6-BBD8-4947-97A7-E52D226C863E}">
  <dimension ref="B3:X52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148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1520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D13+D27+6+U25</f>
        <v>1567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D11+(2*D27)+10</f>
        <v>820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1.2464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31.16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34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26" t="s">
        <v>164</v>
      </c>
      <c r="D23" s="42" t="s">
        <v>154</v>
      </c>
      <c r="F23" s="26" t="str">
        <f>IF(D23="Porta 100","maximal 100 Kg Türgewicht",IF(D23="Porta 60","maximal 60 Kg Türgewicht",0))</f>
        <v>maximal 100 Kg Türgewicht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ht="30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6" t="s">
        <v>47</v>
      </c>
      <c r="V24" s="5"/>
      <c r="W24" s="5"/>
    </row>
    <row r="25" spans="2:23" x14ac:dyDescent="0.25">
      <c r="B25" s="126" t="s">
        <v>171</v>
      </c>
      <c r="C25" s="127"/>
      <c r="D25" s="127"/>
      <c r="E25" s="127"/>
      <c r="F25" s="128"/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v>31</v>
      </c>
      <c r="V25" s="5" t="s">
        <v>19</v>
      </c>
      <c r="W25" s="5" t="s">
        <v>2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30</v>
      </c>
      <c r="C27" s="1" t="s">
        <v>31</v>
      </c>
      <c r="D27" s="34">
        <v>30</v>
      </c>
      <c r="E27" s="1" t="s">
        <v>19</v>
      </c>
      <c r="F27" s="1" t="s">
        <v>34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D29+3</f>
        <v>9</v>
      </c>
      <c r="V27" s="5" t="s">
        <v>19</v>
      </c>
      <c r="W27" s="5" t="s">
        <v>67</v>
      </c>
    </row>
    <row r="28" spans="2:23" ht="6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2</v>
      </c>
      <c r="C29" s="1" t="s">
        <v>33</v>
      </c>
      <c r="D29" s="34">
        <v>6</v>
      </c>
      <c r="E29" s="1" t="s">
        <v>19</v>
      </c>
      <c r="F29" s="1" t="s">
        <v>32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(2*U15)-D21</f>
        <v>1520</v>
      </c>
      <c r="V29" s="5" t="s">
        <v>19</v>
      </c>
      <c r="W29" s="5" t="s">
        <v>48</v>
      </c>
    </row>
    <row r="30" spans="2:23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6" t="s">
        <v>49</v>
      </c>
      <c r="V31" s="5"/>
      <c r="W31" s="5"/>
    </row>
    <row r="32" spans="2:23" x14ac:dyDescent="0.25">
      <c r="B32" s="126" t="s">
        <v>35</v>
      </c>
      <c r="C32" s="127"/>
      <c r="D32" s="127"/>
      <c r="E32" s="127"/>
      <c r="F32" s="128"/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>
        <f>U29</f>
        <v>1520</v>
      </c>
      <c r="V32" s="5" t="s">
        <v>19</v>
      </c>
      <c r="W32" s="5" t="s">
        <v>48</v>
      </c>
    </row>
    <row r="33" spans="2:23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 t="str">
        <f>IF(U32&lt;2501,Daten!L24,IF(U32&lt;3501,Daten!L25,0))</f>
        <v>057.3112.250</v>
      </c>
      <c r="W33" s="5" t="str">
        <f>IF(U32&lt;2501,Daten!M24,IF(U32&lt;3501,Daten!M25,"siehe Katlaog"))</f>
        <v>Laufschiene Aluminium, eloxiert, gleocht 2500 mm</v>
      </c>
    </row>
    <row r="34" spans="2:23" x14ac:dyDescent="0.25">
      <c r="B34" s="1" t="s">
        <v>36</v>
      </c>
      <c r="D34" s="34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6" t="s">
        <v>101</v>
      </c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ht="30.75" customHeight="1" x14ac:dyDescent="0.25">
      <c r="B36" s="151" t="s">
        <v>162</v>
      </c>
      <c r="C36" s="152"/>
      <c r="D36" s="43" t="s">
        <v>40</v>
      </c>
      <c r="F36" s="1" t="s">
        <v>39</v>
      </c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U32</f>
        <v>1520</v>
      </c>
      <c r="V36" s="5" t="s">
        <v>19</v>
      </c>
      <c r="W36" s="5" t="s">
        <v>100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U27+52</f>
        <v>61</v>
      </c>
      <c r="V38" s="5" t="s">
        <v>19</v>
      </c>
      <c r="W38" s="5" t="s">
        <v>52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 t="str">
        <f>IF(U36&lt;2501,Daten!L27,IF(U36&lt;3501,Daten!L28,Daten!L10))</f>
        <v>057.3113.250</v>
      </c>
      <c r="W40" s="5" t="str">
        <f>IF(U36&lt;2501,Daten!M27,IF(U36&lt;3501,Daten!M28,Daten!L10))</f>
        <v>Clip-Blende, Aluminium, eloxiert 2500 mm</v>
      </c>
    </row>
    <row r="41" spans="2:23" ht="6" customHeight="1" x14ac:dyDescent="0.25"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0" t="s">
        <v>16</v>
      </c>
      <c r="C42" s="71"/>
      <c r="E42" s="70" t="s">
        <v>111</v>
      </c>
      <c r="F42" s="71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B43" s="72"/>
      <c r="C43" s="73"/>
      <c r="E43" s="72"/>
      <c r="F43" s="73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6" t="s">
        <v>53</v>
      </c>
      <c r="V44" s="5"/>
      <c r="W44" s="5"/>
    </row>
    <row r="45" spans="2:23" ht="6" customHeight="1" x14ac:dyDescent="0.25">
      <c r="B45" s="70" t="s">
        <v>8</v>
      </c>
      <c r="C45" s="71"/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B46" s="72"/>
      <c r="C46" s="73"/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>
        <f>U15-25</f>
        <v>795</v>
      </c>
      <c r="V46" s="5" t="s">
        <v>19</v>
      </c>
      <c r="W46" s="5" t="s">
        <v>110</v>
      </c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/>
      <c r="V47" s="5"/>
      <c r="W47" s="5"/>
    </row>
    <row r="48" spans="2:23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>
        <f>U15-5</f>
        <v>815</v>
      </c>
      <c r="V48" s="5" t="s">
        <v>19</v>
      </c>
      <c r="W48" s="5" t="s">
        <v>54</v>
      </c>
    </row>
    <row r="49" spans="10:23" ht="6" customHeight="1" x14ac:dyDescent="0.25">
      <c r="J49" s="10"/>
      <c r="K49" s="11"/>
      <c r="L49" s="11"/>
      <c r="M49" s="11"/>
      <c r="N49" s="11"/>
      <c r="O49" s="11"/>
      <c r="P49" s="11"/>
      <c r="Q49" s="11"/>
      <c r="R49" s="12"/>
      <c r="S49" s="11"/>
      <c r="T49" s="5"/>
      <c r="U49" s="5"/>
      <c r="V49" s="5"/>
      <c r="W49" s="5"/>
    </row>
    <row r="50" spans="10:23" x14ac:dyDescent="0.25">
      <c r="J50" s="13"/>
      <c r="K50" s="14"/>
      <c r="L50" s="14"/>
      <c r="M50" s="14"/>
      <c r="N50" s="14"/>
      <c r="O50" s="14"/>
      <c r="P50" s="14"/>
      <c r="Q50" s="14"/>
      <c r="R50" s="15"/>
      <c r="S50" s="11"/>
      <c r="T50" s="5"/>
      <c r="U50" s="5"/>
      <c r="V50" s="5">
        <f>IF(U15&lt;931,Daten!I8,IF(U15&lt;1051,Daten!I9,IF(U15&lt;1181,Daten!I10,IF(U15&lt;1301,Daten!I11,Daten!I12))))</f>
        <v>30436</v>
      </c>
      <c r="W50" s="5" t="str">
        <f>IF(V50=30436,Daten!J8,IF(V50=30438,Daten!J9,IF(V50=30440,Daten!J10,IF(V50=30442,Daten!J11,Daten!J12))))</f>
        <v xml:space="preserve">Hawa Acoustics XS rechts </v>
      </c>
    </row>
    <row r="52" spans="10:23" x14ac:dyDescent="0.25">
      <c r="J52" s="19"/>
    </row>
  </sheetData>
  <sheetProtection sheet="1" objects="1" scenarios="1"/>
  <mergeCells count="9">
    <mergeCell ref="B42:C43"/>
    <mergeCell ref="E42:F43"/>
    <mergeCell ref="B45:C46"/>
    <mergeCell ref="B3:M5"/>
    <mergeCell ref="B7:M7"/>
    <mergeCell ref="B9:F9"/>
    <mergeCell ref="B25:F25"/>
    <mergeCell ref="B32:F32"/>
    <mergeCell ref="B36:C36"/>
  </mergeCells>
  <conditionalFormatting sqref="D15">
    <cfRule type="expression" dxfId="4" priority="1">
      <formula>$D$15&gt;2550</formula>
    </cfRule>
  </conditionalFormatting>
  <dataValidations count="9">
    <dataValidation type="whole" allowBlank="1" showInputMessage="1" showErrorMessage="1" errorTitle="Falsches Mass" error="Muss zwischen 6 und 25 mm sein" sqref="D29" xr:uid="{CD8F90BE-0EFC-4233-A376-DF7D6AB886A0}">
      <formula1>6</formula1>
      <formula2>25</formula2>
    </dataValidation>
    <dataValidation type="whole" operator="greaterThan" allowBlank="1" showInputMessage="1" showErrorMessage="1" errorTitle="Flasches Mass" error="Muss min. 120 mm sein" sqref="D21:D22" xr:uid="{E59F997C-98B8-4DCE-8328-DC5EEBC5D47C}">
      <formula1>119</formula1>
    </dataValidation>
    <dataValidation type="whole" allowBlank="1" showInputMessage="1" showErrorMessage="1" errorTitle="Falsches Mass" error="Muss zwischen 750 und 1250 mm sein" sqref="D11" xr:uid="{946A1132-B64D-4983-84B9-CA33BD56FAA4}">
      <formula1>750</formula1>
      <formula2>1250</formula2>
    </dataValidation>
    <dataValidation type="whole" allowBlank="1" showInputMessage="1" showErrorMessage="1" errorTitle="Flasches Mass" error="Muss zwischen 1500 und 2550 mm sein" sqref="D15" xr:uid="{D099283A-5A37-4AA8-BF45-66D58ED3A10B}">
      <formula1>1500</formula1>
      <formula2>2550</formula2>
    </dataValidation>
    <dataValidation allowBlank="1" showInputMessage="1" showErrorMessage="1" errorTitle="Flasches Mass" error="Muss zwischen 44 und 50 mm sein" sqref="D19:D20" xr:uid="{88952671-CF43-4E4B-B25B-5EB84F7FFEDF}"/>
    <dataValidation type="whole" allowBlank="1" showInputMessage="1" showErrorMessage="1" errorTitle="Falsches Mass" error="Muss zwischen 750 und 1250 mm sein" sqref="D30" xr:uid="{FA692E7B-10DC-4488-AE16-C7E6A40C60E8}">
      <formula1>6</formula1>
      <formula2>25</formula2>
    </dataValidation>
    <dataValidation type="whole" allowBlank="1" showInputMessage="1" showErrorMessage="1" errorTitle="Falsches Mass" error="Muss zwischen 30 und 60 mm sein" sqref="D27" xr:uid="{7DFF7FBE-B17B-4076-B25E-99E87B64531C}">
      <formula1>30</formula1>
      <formula2>60</formula2>
    </dataValidation>
    <dataValidation allowBlank="1" showInputMessage="1" showErrorMessage="1" errorTitle="Flasches Mass" error="Muss zwischen 1500 und 2550 mm sein" sqref="D13" xr:uid="{5F393BB5-CA65-42FD-832D-DB08464499CA}"/>
    <dataValidation type="whole" allowBlank="1" showInputMessage="1" showErrorMessage="1" errorTitle="Flasches Mass" error="Muss zwischen 39 und 45 mm sein" sqref="D17" xr:uid="{9F5FEDC8-387B-4326-9CAB-D750BF8DAEDC}">
      <formula1>39</formula1>
      <formula2>45</formula2>
    </dataValidation>
  </dataValidations>
  <hyperlinks>
    <hyperlink ref="B45:C46" location="Startseite!A1" display="Home" xr:uid="{71C46985-68E8-47B0-926F-86C2BFA2CFE8}"/>
    <hyperlink ref="B42:C43" location="'Art P B '!A1" display="Zurück" xr:uid="{2DB4E29F-FC4D-49D0-9CDD-06D660E8531B}"/>
    <hyperlink ref="E42:F43" location="'30'!A1" display="Zum Plan " xr:uid="{1A2E508A-DE62-45B3-9B83-1B2873E2799F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F742118-509A-4710-88E0-06865C2DBA25}">
          <x14:formula1>
            <xm:f>Daten!$B$6:$B$7</xm:f>
          </x14:formula1>
          <xm:sqref>D23</xm:sqref>
        </x14:dataValidation>
        <x14:dataValidation type="list" allowBlank="1" showInputMessage="1" showErrorMessage="1" errorTitle="Falsches Mass" error="Muss zwischen 750 und 1250 mm sein" xr:uid="{EC46B6C5-0475-48D3-8972-9925AC29BACB}">
          <x14:formula1>
            <xm:f>Daten!$B$2:$B$3</xm:f>
          </x14:formula1>
          <xm:sqref>D34 D38 D36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AD77"/>
  <sheetViews>
    <sheetView zoomScale="70" zoomScaleNormal="70" workbookViewId="0">
      <selection activeCell="C76" sqref="C76:D77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N L G'!U22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N L G'!D13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N L G'!U11</f>
        <v>1444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N L G'!V45</f>
        <v>30437</v>
      </c>
      <c r="AA11" s="21">
        <v>1</v>
      </c>
      <c r="AB11" s="21" t="str">
        <f>'P J N L G'!W45</f>
        <v>Hawa Acoustics XS links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N L G'!U41</f>
        <v>875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N L G'!U43</f>
        <v>895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N L G'!V28</f>
        <v>27673</v>
      </c>
      <c r="AA15" s="21">
        <v>1</v>
      </c>
      <c r="AB15" s="21" t="str">
        <f>'P J N L G'!W28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N L G'!V35</f>
        <v>27689</v>
      </c>
      <c r="AA18" s="21">
        <f>IF('P J N L G'!D29="JA",1,0)</f>
        <v>1</v>
      </c>
      <c r="AB18" s="21" t="str">
        <f>'P J N L G'!W35</f>
        <v>Clip-Blende 2000 mm</v>
      </c>
      <c r="AC18" s="21"/>
      <c r="AD18" s="21"/>
    </row>
    <row r="19" spans="11:30" x14ac:dyDescent="0.25">
      <c r="Z19" s="21">
        <f>IF('P J N L G'!D31="JA",Daten!L5,0)</f>
        <v>30434</v>
      </c>
      <c r="AA19" s="21">
        <f>IF('P J N L G'!D31="JA",1,0)</f>
        <v>1</v>
      </c>
      <c r="AB19" s="21" t="str">
        <f>IF('P J N L G'!D31="Ja",Daten!M5,0)</f>
        <v>Blendenendstück Set links</v>
      </c>
      <c r="AC19" s="21"/>
      <c r="AD19" s="21"/>
    </row>
    <row r="20" spans="11:30" x14ac:dyDescent="0.25">
      <c r="Z20" s="21">
        <f>IF('P J N L G'!D33="JA",Daten!L6,0)</f>
        <v>30435</v>
      </c>
      <c r="AA20" s="21">
        <f>IF('P J N L G'!D33="JA",1,0)</f>
        <v>1</v>
      </c>
      <c r="AB20" s="21" t="str">
        <f>IF('P J N L G'!D33="Ja",Daten!M6,0)</f>
        <v>Blendenendstück Set rechts</v>
      </c>
      <c r="AC20" s="21"/>
      <c r="AD20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  <c r="T25" s="16" t="s">
        <v>64</v>
      </c>
      <c r="U25" s="17">
        <f>126-T48</f>
        <v>96</v>
      </c>
      <c r="V25" s="18" t="s">
        <v>19</v>
      </c>
    </row>
    <row r="48" spans="3:21" x14ac:dyDescent="0.25">
      <c r="C48" s="16" t="s">
        <v>59</v>
      </c>
      <c r="D48" s="17">
        <f>'P J N L G'!U27</f>
        <v>1680</v>
      </c>
      <c r="E48" s="18" t="s">
        <v>19</v>
      </c>
      <c r="K48" s="16" t="s">
        <v>56</v>
      </c>
      <c r="L48" s="17">
        <f>'P J N L G'!D11</f>
        <v>750</v>
      </c>
      <c r="M48" s="18" t="s">
        <v>19</v>
      </c>
      <c r="S48" s="16" t="s">
        <v>57</v>
      </c>
      <c r="T48" s="17">
        <f>'P J N L G'!D22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N L G'!U13</f>
        <v>900</v>
      </c>
      <c r="M50" s="18" t="s">
        <v>19</v>
      </c>
      <c r="S50" s="16" t="s">
        <v>58</v>
      </c>
      <c r="T50" s="17">
        <f>'P J N L G'!D24</f>
        <v>6</v>
      </c>
      <c r="U50" s="18" t="s">
        <v>19</v>
      </c>
    </row>
    <row r="62" spans="3:21" x14ac:dyDescent="0.25">
      <c r="C62" s="16" t="s">
        <v>61</v>
      </c>
      <c r="D62" s="17">
        <f>'P J N L G'!U31</f>
        <v>1680</v>
      </c>
      <c r="E62" s="17" t="s">
        <v>19</v>
      </c>
      <c r="F62" s="17" t="s">
        <v>60</v>
      </c>
      <c r="G62" s="18"/>
    </row>
    <row r="63" spans="3:21" ht="6" customHeight="1" x14ac:dyDescent="0.25"/>
    <row r="64" spans="3:21" x14ac:dyDescent="0.25">
      <c r="C64" s="16" t="s">
        <v>61</v>
      </c>
      <c r="D64" s="17">
        <f>D62+6</f>
        <v>1686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1692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09B5DA8F-74E5-4D37-8E5E-6199774AE055}"/>
    <hyperlink ref="C73:D74" location="'P J N L G'!A1" display="Zurück" xr:uid="{B3E81787-350C-4CA2-84BC-35334E6F250F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8A7E-00D2-443D-A615-3EB3DAC38A9A}">
  <sheetPr>
    <pageSetUpPr fitToPage="1"/>
  </sheetPr>
  <dimension ref="C2:AD74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B R T '!U27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B R T '!D15</f>
        <v>1567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B R T '!U11</f>
        <v>1520</v>
      </c>
      <c r="I10" s="18" t="s">
        <v>19</v>
      </c>
      <c r="Z10" s="32">
        <f>IF('P P B R T '!D23="Porta 60",Daten!F4,IF('P P B R T '!D23="Porta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B R T '!V50</f>
        <v>30436</v>
      </c>
      <c r="AA11" s="21">
        <v>1</v>
      </c>
      <c r="AB11" s="21" t="str">
        <f>'P P B R T '!W50</f>
        <v xml:space="preserve">Hawa Acoustics XS rechts 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B R T '!U46</f>
        <v>795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B R T '!U48</f>
        <v>815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B R T '!V33</f>
        <v>057.3112.250</v>
      </c>
      <c r="AA15" s="21">
        <v>1</v>
      </c>
      <c r="AB15" s="21" t="str">
        <f>'P P B R T '!W33</f>
        <v>Laufschiene Aluminium, eloxiert, gleocht 2500 mm</v>
      </c>
      <c r="AC15" s="21"/>
      <c r="AD15" s="21"/>
    </row>
    <row r="16" spans="6:30" x14ac:dyDescent="0.25">
      <c r="Z16" s="32"/>
      <c r="AA16" s="21"/>
      <c r="AB16" s="21"/>
      <c r="AC16" s="21"/>
      <c r="AD16" s="21"/>
    </row>
    <row r="17" spans="19:30" x14ac:dyDescent="0.25">
      <c r="Z17" s="22" t="s">
        <v>91</v>
      </c>
      <c r="AA17" s="22"/>
      <c r="AB17" s="22"/>
      <c r="AC17" s="22"/>
      <c r="AD17" s="22"/>
    </row>
    <row r="18" spans="19:30" x14ac:dyDescent="0.25">
      <c r="Z18" s="32" t="str">
        <f>'P P B R T '!V40</f>
        <v>057.3113.250</v>
      </c>
      <c r="AA18" s="21">
        <f>IF('P P B R T '!D34="JA",1,0)</f>
        <v>1</v>
      </c>
      <c r="AB18" s="21" t="str">
        <f>'P P B R T '!W40</f>
        <v>Clip-Blende, Aluminium, eloxiert 2500 mm</v>
      </c>
      <c r="AC18" s="21"/>
      <c r="AD18" s="21"/>
    </row>
    <row r="19" spans="19:30" x14ac:dyDescent="0.25">
      <c r="Z19" s="32">
        <f>IF('P P B R T '!D36="JA",Daten!L30,0)</f>
        <v>30485</v>
      </c>
      <c r="AA19" s="21">
        <f>IF('P P B R T '!D36="JA",1,0)</f>
        <v>1</v>
      </c>
      <c r="AB19" s="21" t="str">
        <f>IF('P P B R T '!D36="Ja",Daten!M30,0)</f>
        <v>Blendenendstück Kunststoff, anthrazit, 95 mm</v>
      </c>
      <c r="AC19" s="21"/>
      <c r="AD19" s="21"/>
    </row>
    <row r="25" spans="19:30" x14ac:dyDescent="0.25">
      <c r="S25" s="16" t="s">
        <v>63</v>
      </c>
      <c r="T25" s="17">
        <f>T48-10</f>
        <v>20</v>
      </c>
      <c r="U25" s="18" t="s">
        <v>19</v>
      </c>
    </row>
    <row r="48" spans="3:21" x14ac:dyDescent="0.25">
      <c r="C48" s="16" t="s">
        <v>59</v>
      </c>
      <c r="D48" s="17">
        <f>'P P B R T '!U32</f>
        <v>1520</v>
      </c>
      <c r="E48" s="18" t="s">
        <v>19</v>
      </c>
      <c r="K48" s="16" t="s">
        <v>56</v>
      </c>
      <c r="L48" s="17">
        <f>'P P B R T '!D11</f>
        <v>750</v>
      </c>
      <c r="M48" s="18" t="s">
        <v>19</v>
      </c>
      <c r="S48" s="16" t="s">
        <v>57</v>
      </c>
      <c r="T48" s="17">
        <f>'P P B R T '!D27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B R T '!U15</f>
        <v>820</v>
      </c>
      <c r="M50" s="18" t="s">
        <v>19</v>
      </c>
      <c r="S50" s="16" t="s">
        <v>58</v>
      </c>
      <c r="T50" s="17">
        <f>'P P B R T '!D29</f>
        <v>6</v>
      </c>
      <c r="U50" s="18" t="s">
        <v>19</v>
      </c>
    </row>
    <row r="62" spans="3:21" x14ac:dyDescent="0.25">
      <c r="C62" s="16" t="s">
        <v>61</v>
      </c>
      <c r="D62" s="17">
        <f>'P P B R T '!U36</f>
        <v>1520</v>
      </c>
      <c r="E62" s="18" t="s">
        <v>19</v>
      </c>
      <c r="K62" s="16" t="s">
        <v>114</v>
      </c>
      <c r="L62" s="17">
        <f>'P P B R T '!D21</f>
        <v>120</v>
      </c>
      <c r="M62" s="18" t="s">
        <v>19</v>
      </c>
    </row>
    <row r="63" spans="3:21" ht="6" customHeight="1" x14ac:dyDescent="0.25"/>
    <row r="64" spans="3:21" ht="6" customHeight="1" x14ac:dyDescent="0.25"/>
    <row r="65" spans="3:5" x14ac:dyDescent="0.25">
      <c r="C65" s="16" t="s">
        <v>69</v>
      </c>
      <c r="D65" s="17">
        <f>H6+53</f>
        <v>62</v>
      </c>
      <c r="E65" s="18" t="s">
        <v>19</v>
      </c>
    </row>
    <row r="70" spans="3:5" x14ac:dyDescent="0.25">
      <c r="C70" s="70" t="s">
        <v>16</v>
      </c>
      <c r="D70" s="71"/>
    </row>
    <row r="71" spans="3:5" x14ac:dyDescent="0.25">
      <c r="C71" s="72"/>
      <c r="D71" s="73"/>
    </row>
    <row r="73" spans="3:5" x14ac:dyDescent="0.25">
      <c r="C73" s="70" t="s">
        <v>8</v>
      </c>
      <c r="D73" s="71"/>
    </row>
    <row r="74" spans="3:5" x14ac:dyDescent="0.25">
      <c r="C74" s="72"/>
      <c r="D74" s="73"/>
    </row>
  </sheetData>
  <sheetProtection sheet="1" objects="1" scenarios="1"/>
  <mergeCells count="2">
    <mergeCell ref="C70:D71"/>
    <mergeCell ref="C73:D74"/>
  </mergeCells>
  <hyperlinks>
    <hyperlink ref="C73:D74" location="Startseite!A1" display="Home" xr:uid="{655971D1-900D-4FFA-A7D3-A5477EF1D83A}"/>
    <hyperlink ref="C70:D71" location="'P P B R T '!A1" display="Zurück" xr:uid="{1EABD5CA-6AE6-4B41-A6C5-FE5BDE9FBADE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A42E-CA81-4B96-8699-424819D24583}">
  <sheetPr>
    <tabColor theme="4" tint="0.79998168889431442"/>
  </sheetPr>
  <dimension ref="B3:L24"/>
  <sheetViews>
    <sheetView zoomScale="85" zoomScaleNormal="85" workbookViewId="0"/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4" spans="2:12" x14ac:dyDescent="0.25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10"/>
    </row>
    <row r="5" spans="2:12" x14ac:dyDescent="0.2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3"/>
    </row>
    <row r="7" spans="2:12" ht="18.75" x14ac:dyDescent="0.3">
      <c r="B7" s="114" t="s">
        <v>130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99" t="s">
        <v>12</v>
      </c>
      <c r="C9" s="100"/>
      <c r="E9" s="99" t="s">
        <v>13</v>
      </c>
      <c r="F9" s="100"/>
      <c r="H9" s="99" t="s">
        <v>14</v>
      </c>
      <c r="I9" s="100"/>
      <c r="K9" s="99" t="s">
        <v>15</v>
      </c>
      <c r="L9" s="100"/>
    </row>
    <row r="10" spans="2:12" x14ac:dyDescent="0.25">
      <c r="B10" s="101"/>
      <c r="C10" s="102"/>
      <c r="E10" s="101"/>
      <c r="F10" s="102"/>
      <c r="H10" s="101"/>
      <c r="I10" s="102"/>
      <c r="K10" s="101"/>
      <c r="L10" s="102"/>
    </row>
    <row r="11" spans="2:12" x14ac:dyDescent="0.25">
      <c r="B11" s="101"/>
      <c r="C11" s="102"/>
      <c r="E11" s="101"/>
      <c r="F11" s="102"/>
      <c r="H11" s="101"/>
      <c r="I11" s="102"/>
      <c r="K11" s="101"/>
      <c r="L11" s="102"/>
    </row>
    <row r="12" spans="2:12" x14ac:dyDescent="0.25">
      <c r="B12" s="101"/>
      <c r="C12" s="102"/>
      <c r="E12" s="101"/>
      <c r="F12" s="102"/>
      <c r="H12" s="101"/>
      <c r="I12" s="102"/>
      <c r="K12" s="101"/>
      <c r="L12" s="102"/>
    </row>
    <row r="13" spans="2:12" x14ac:dyDescent="0.25">
      <c r="B13" s="101"/>
      <c r="C13" s="102"/>
      <c r="E13" s="101"/>
      <c r="F13" s="102"/>
      <c r="H13" s="101"/>
      <c r="I13" s="102"/>
      <c r="K13" s="101"/>
      <c r="L13" s="102"/>
    </row>
    <row r="14" spans="2:12" x14ac:dyDescent="0.25">
      <c r="B14" s="101"/>
      <c r="C14" s="102"/>
      <c r="E14" s="101"/>
      <c r="F14" s="102"/>
      <c r="H14" s="101"/>
      <c r="I14" s="102"/>
      <c r="K14" s="101"/>
      <c r="L14" s="102"/>
    </row>
    <row r="15" spans="2:12" x14ac:dyDescent="0.25">
      <c r="B15" s="101"/>
      <c r="C15" s="102"/>
      <c r="E15" s="101"/>
      <c r="F15" s="102"/>
      <c r="H15" s="101"/>
      <c r="I15" s="102"/>
      <c r="K15" s="101"/>
      <c r="L15" s="102"/>
    </row>
    <row r="16" spans="2:12" x14ac:dyDescent="0.25">
      <c r="B16" s="101"/>
      <c r="C16" s="102"/>
      <c r="E16" s="101"/>
      <c r="F16" s="102"/>
      <c r="H16" s="101"/>
      <c r="I16" s="102"/>
      <c r="K16" s="101"/>
      <c r="L16" s="102"/>
    </row>
    <row r="17" spans="2:12" x14ac:dyDescent="0.25">
      <c r="B17" s="101"/>
      <c r="C17" s="102"/>
      <c r="E17" s="101"/>
      <c r="F17" s="102"/>
      <c r="H17" s="101"/>
      <c r="I17" s="102"/>
      <c r="K17" s="101"/>
      <c r="L17" s="102"/>
    </row>
    <row r="18" spans="2:12" x14ac:dyDescent="0.25">
      <c r="B18" s="103"/>
      <c r="C18" s="104"/>
      <c r="E18" s="103"/>
      <c r="F18" s="104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B20:C21"/>
    <mergeCell ref="B23:C24"/>
    <mergeCell ref="B3:L5"/>
    <mergeCell ref="B7:L7"/>
    <mergeCell ref="B9:C18"/>
    <mergeCell ref="E9:F18"/>
    <mergeCell ref="H9:I18"/>
    <mergeCell ref="K9:L18"/>
  </mergeCells>
  <hyperlinks>
    <hyperlink ref="B23:C24" location="Startseite!A1" display="Home" xr:uid="{5FB57507-7A7D-4BAF-AE34-FF957B9B6037}"/>
    <hyperlink ref="B20:C21" location="'Situation P'!A1" display="Zurück" xr:uid="{B3B22CCA-B24C-4335-AE6E-FD747E07EE74}"/>
    <hyperlink ref="B9:C18" location="'P P U L G '!A1" display="'P P U L G '!A1" xr:uid="{D9C61C6A-816C-4F3D-B0B0-4C2C95083B89}"/>
    <hyperlink ref="E9:F18" location="'P P U L T  '!A1" display="'P P U L T  '!A1" xr:uid="{6C4E9326-1D7E-487F-B231-53B09EC88CB7}"/>
    <hyperlink ref="H9:I18" location="'P P U R G  '!A1" display="'P P U R G  '!A1" xr:uid="{8F8D4424-D07D-40D0-9334-EFDD341A575A}"/>
    <hyperlink ref="K9:L18" location="'P P U R T '!A1" display="'P P U R T '!A1" xr:uid="{CEF6DA84-F88A-4FF6-9B3B-DD3E6992C41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303E-A261-45A4-9C42-17DB9F851E60}">
  <dimension ref="B3:X51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1550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D13+D25+D29+6+U23</f>
        <v>1597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D11+D25+(2*D29)+120</f>
        <v>940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1.4570000000000001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36.425000000000004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G22" s="150"/>
      <c r="H22" s="150"/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124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31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50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D27+3</f>
        <v>20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17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(2*U15)-120</f>
        <v>1760</v>
      </c>
      <c r="V27" s="5" t="s">
        <v>19</v>
      </c>
      <c r="W27" s="5" t="s">
        <v>48</v>
      </c>
    </row>
    <row r="28" spans="2:23" ht="7.5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125</v>
      </c>
      <c r="C29" s="1" t="s">
        <v>126</v>
      </c>
      <c r="D29" s="34">
        <v>10</v>
      </c>
      <c r="E29" s="1" t="s">
        <v>19</v>
      </c>
      <c r="F29" s="1" t="s">
        <v>127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/>
      <c r="V30" s="5"/>
      <c r="W30" s="5"/>
    </row>
    <row r="31" spans="2:23" x14ac:dyDescent="0.25">
      <c r="B31" s="126" t="s">
        <v>35</v>
      </c>
      <c r="C31" s="127"/>
      <c r="D31" s="127"/>
      <c r="E31" s="127"/>
      <c r="F31" s="128"/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>
        <f>U27</f>
        <v>1760</v>
      </c>
      <c r="V31" s="5" t="s">
        <v>19</v>
      </c>
      <c r="W31" s="5" t="s">
        <v>48</v>
      </c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 t="str">
        <f>IF(U31&lt;2501,Daten!L24,IF(U31&lt;3501,Daten!L25,0))</f>
        <v>057.3112.250</v>
      </c>
      <c r="W32" s="5" t="str">
        <f>IF(U31&lt;2501,Daten!M24,IF(U31&lt;3501,Daten!M25,"siehe Katlaog"))</f>
        <v>Laufschiene Aluminium, eloxiert, gleocht 2500 mm</v>
      </c>
    </row>
    <row r="33" spans="2:23" x14ac:dyDescent="0.25">
      <c r="B33" s="1" t="s">
        <v>36</v>
      </c>
      <c r="D33" s="34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6" t="s">
        <v>101</v>
      </c>
      <c r="V33" s="5"/>
      <c r="W33" s="5"/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ht="28.5" customHeight="1" x14ac:dyDescent="0.25">
      <c r="B35" s="151" t="s">
        <v>162</v>
      </c>
      <c r="C35" s="152"/>
      <c r="D35" s="43" t="s">
        <v>40</v>
      </c>
      <c r="F35" s="1" t="s">
        <v>39</v>
      </c>
      <c r="J35" s="10"/>
      <c r="K35" s="11"/>
      <c r="L35" s="11" t="s">
        <v>170</v>
      </c>
      <c r="M35" s="30" t="s">
        <v>198</v>
      </c>
      <c r="O35" s="11"/>
      <c r="P35" s="11"/>
      <c r="Q35" s="11"/>
      <c r="R35" s="12"/>
      <c r="S35" s="11"/>
      <c r="T35" s="5"/>
      <c r="U35" s="5">
        <f>U31</f>
        <v>1760</v>
      </c>
      <c r="V35" s="5" t="s">
        <v>19</v>
      </c>
      <c r="W35" s="5" t="s">
        <v>100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>
        <f>U25+52</f>
        <v>72</v>
      </c>
      <c r="V37" s="5" t="s">
        <v>19</v>
      </c>
      <c r="W37" s="5" t="s">
        <v>52</v>
      </c>
    </row>
    <row r="38" spans="2:23" ht="6" customHeight="1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 t="str">
        <f>IF(U35&lt;2501,Daten!L27,IF(U35&lt;3501,Daten!L28,Daten!L10))</f>
        <v>057.3113.250</v>
      </c>
      <c r="W39" s="5" t="str">
        <f>IF(U35&lt;2501,Daten!M27,IF(U35&lt;3501,Daten!M28,Daten!L10))</f>
        <v>Clip-Blende, Aluminium, eloxiert 2500 mm</v>
      </c>
    </row>
    <row r="40" spans="2:23" ht="6" customHeight="1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ht="15.75" x14ac:dyDescent="0.25">
      <c r="B41" s="70" t="s">
        <v>16</v>
      </c>
      <c r="C41" s="71"/>
      <c r="D41" s="25"/>
      <c r="E41" s="70" t="s">
        <v>111</v>
      </c>
      <c r="F41" s="71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ht="15.75" x14ac:dyDescent="0.25">
      <c r="B42" s="72"/>
      <c r="C42" s="73"/>
      <c r="D42" s="25"/>
      <c r="E42" s="72"/>
      <c r="F42" s="73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6" t="s">
        <v>53</v>
      </c>
      <c r="V43" s="5"/>
      <c r="W43" s="5"/>
    </row>
    <row r="44" spans="2:23" ht="6" customHeight="1" x14ac:dyDescent="0.25">
      <c r="B44" s="70" t="s">
        <v>8</v>
      </c>
      <c r="C44" s="71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B45" s="72"/>
      <c r="C45" s="73"/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>
        <f>U15-25</f>
        <v>915</v>
      </c>
      <c r="V45" s="5" t="s">
        <v>19</v>
      </c>
      <c r="W45" s="5" t="s">
        <v>110</v>
      </c>
    </row>
    <row r="46" spans="2:23" ht="6" customHeight="1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>
        <f>U15-5</f>
        <v>935</v>
      </c>
      <c r="V47" s="5" t="s">
        <v>19</v>
      </c>
      <c r="W47" s="5" t="s">
        <v>54</v>
      </c>
    </row>
    <row r="48" spans="2:23" ht="6" customHeight="1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/>
      <c r="V48" s="5"/>
      <c r="W48" s="5"/>
    </row>
    <row r="49" spans="10:23" x14ac:dyDescent="0.25">
      <c r="J49" s="13"/>
      <c r="K49" s="14"/>
      <c r="L49" s="14"/>
      <c r="M49" s="14"/>
      <c r="N49" s="14"/>
      <c r="O49" s="14"/>
      <c r="P49" s="14"/>
      <c r="Q49" s="14"/>
      <c r="R49" s="15"/>
      <c r="S49" s="11"/>
      <c r="T49" s="5"/>
      <c r="U49" s="5"/>
      <c r="V49" s="5">
        <f>IF(U15&lt;931,Daten!F8,IF(U15&lt;1051,Daten!F9,IF(U15&lt;1181,Daten!F10,IF(U15&lt;1301,Daten!F11,Daten!F12))))</f>
        <v>30439</v>
      </c>
      <c r="W49" s="5" t="str">
        <f>IF(V49=30437,Daten!G8,IF(V49=30439,Daten!G9,IF(V49=30441,Daten!G10,IF(V49=30443,Daten!G11,Daten!G12))))</f>
        <v>Hawa Acoustics S links</v>
      </c>
    </row>
    <row r="51" spans="10:23" x14ac:dyDescent="0.25">
      <c r="J51" s="19"/>
    </row>
  </sheetData>
  <sheetProtection sheet="1" objects="1" scenarios="1"/>
  <mergeCells count="10">
    <mergeCell ref="B35:C35"/>
    <mergeCell ref="B41:C42"/>
    <mergeCell ref="E41:F42"/>
    <mergeCell ref="B44:C45"/>
    <mergeCell ref="B3:M5"/>
    <mergeCell ref="B7:M7"/>
    <mergeCell ref="B9:F9"/>
    <mergeCell ref="G22:H22"/>
    <mergeCell ref="B23:F23"/>
    <mergeCell ref="B31:F31"/>
  </mergeCells>
  <conditionalFormatting sqref="D15">
    <cfRule type="expression" dxfId="3" priority="1">
      <formula>$D$15&gt;2550</formula>
    </cfRule>
  </conditionalFormatting>
  <dataValidations count="8">
    <dataValidation type="whole" allowBlank="1" showInputMessage="1" showErrorMessage="1" errorTitle="Falsches Mass" error="Muss zwischen 6 und 25 mm sein" sqref="D27" xr:uid="{BC540C55-10D6-46E1-9FCF-6BF8A000D6C6}">
      <formula1>6</formula1>
      <formula2>25</formula2>
    </dataValidation>
    <dataValidation type="whole" allowBlank="1" showInputMessage="1" showErrorMessage="1" errorTitle="Falsches Mass" error="Muss zwischen 30 und 60 mm sein" sqref="D25" xr:uid="{6670C30B-33C2-4666-A31A-2849DEFE364B}">
      <formula1>30</formula1>
      <formula2>60</formula2>
    </dataValidation>
    <dataValidation type="whole" allowBlank="1" showInputMessage="1" showErrorMessage="1" errorTitle="Falsches Mass" error="Muss zwischen 750 und 1250 mm sein" sqref="D28" xr:uid="{8A2226DA-4BCA-410D-9EC6-384AEDCDDDC7}">
      <formula1>6</formula1>
      <formula2>25</formula2>
    </dataValidation>
    <dataValidation allowBlank="1" showInputMessage="1" showErrorMessage="1" errorTitle="Flasches Mass" error="Muss zwischen 44 und 50 mm sein" sqref="D19" xr:uid="{B3F93247-7AB8-4D94-877B-FC3EB2945CAC}"/>
    <dataValidation type="whole" allowBlank="1" showInputMessage="1" showErrorMessage="1" errorTitle="Flasches Mass" error="Muss zwischen 1500 und 2550 mm sein" sqref="D15 D13" xr:uid="{70E89D03-4DE9-4F89-9845-FA492CACAEC3}">
      <formula1>1500</formula1>
      <formula2>2550</formula2>
    </dataValidation>
    <dataValidation type="whole" allowBlank="1" showInputMessage="1" showErrorMessage="1" errorTitle="Falsches Mass" error="Muss zwischen 750 und 1250 mm sein" sqref="D11" xr:uid="{F5678E1A-2693-40A5-BA0F-7463DBADBD38}">
      <formula1>750</formula1>
      <formula2>1250</formula2>
    </dataValidation>
    <dataValidation type="whole" allowBlank="1" showInputMessage="1" showErrorMessage="1" errorTitle="Falsches Mass" error="Muss zwischen 0 und 20 mm sein" sqref="D29:D30" xr:uid="{E2331EC6-E4CC-43E9-9D00-79E0FF91F867}">
      <formula1>0</formula1>
      <formula2>20</formula2>
    </dataValidation>
    <dataValidation type="whole" allowBlank="1" showInputMessage="1" showErrorMessage="1" errorTitle="Flasches Mass" error="Muss zwischen 39 und 45 mm sein" sqref="D17" xr:uid="{64CBB852-D466-49AE-BA80-E365C01B52EE}">
      <formula1>39</formula1>
      <formula2>45</formula2>
    </dataValidation>
  </dataValidations>
  <hyperlinks>
    <hyperlink ref="B44:C45" location="Startseite!A1" display="Home" xr:uid="{14AE952C-7450-49A5-B506-51B32B9C0E16}"/>
    <hyperlink ref="B41:C42" location="'Art P U '!A1" display="Zurück" xr:uid="{5F7394A2-808D-4F19-8DDC-B2FB7E64361D}"/>
    <hyperlink ref="E41:F42" location="'25'!A1" display="Zum Plan " xr:uid="{732ECC3A-DECF-4CE6-BAA3-25289FE528B9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DE8FB8D2-212B-4D27-B686-59243F735EA5}">
          <x14:formula1>
            <xm:f>Daten!$B$2:$B$3</xm:f>
          </x14:formula1>
          <xm:sqref>D33 D35 D37</xm:sqref>
        </x14:dataValidation>
        <x14:dataValidation type="list" allowBlank="1" showInputMessage="1" showErrorMessage="1" xr:uid="{8E15B5D4-3D2F-44E8-90EB-494417647D98}">
          <x14:formula1>
            <xm:f>Daten!$B$6:$B$7</xm:f>
          </x14:formula1>
          <xm:sqref>D21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FD7D-2820-4F8D-81ED-78CDBD766AD9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2.570312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U L G '!U25</f>
        <v>20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U L G '!D15</f>
        <v>1597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U L G '!U11</f>
        <v>1550</v>
      </c>
      <c r="I10" s="18" t="s">
        <v>19</v>
      </c>
      <c r="Z10" s="32">
        <f>IF('P P U L G '!D21="Porta 60",Daten!F4,IF('P P U L G '!D21="Porta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U L G '!V49</f>
        <v>30439</v>
      </c>
      <c r="AA11" s="21">
        <v>1</v>
      </c>
      <c r="AB11" s="21" t="str">
        <f>'P P U L G '!W49</f>
        <v>Hawa Acoustics S links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U L G '!U45</f>
        <v>915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U L G '!U47</f>
        <v>935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U L G '!V32</f>
        <v>057.3112.250</v>
      </c>
      <c r="AA15" s="21">
        <v>1</v>
      </c>
      <c r="AB15" s="21" t="str">
        <f>'P P U L G '!W32</f>
        <v>Laufschiene Aluminium, eloxiert, gleocht 2500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32" t="str">
        <f>'P P U L G '!V39</f>
        <v>057.3113.250</v>
      </c>
      <c r="AA18" s="21">
        <f>IF('P P U L G '!D33="JA",1,0)</f>
        <v>1</v>
      </c>
      <c r="AB18" s="21" t="str">
        <f>'P P U L G '!W39</f>
        <v>Clip-Blende, Aluminium, eloxiert 2500 mm</v>
      </c>
      <c r="AC18" s="21"/>
      <c r="AD18" s="21"/>
    </row>
    <row r="19" spans="11:30" x14ac:dyDescent="0.25">
      <c r="Z19" s="32">
        <f>IF('P P U L G '!D35="JA",Daten!L30,0)</f>
        <v>30485</v>
      </c>
      <c r="AA19" s="21">
        <f>IF('P P U L G '!D35="JA",1,0)</f>
        <v>1</v>
      </c>
      <c r="AB19" s="21" t="str">
        <f>IF('P P U L G '!D35="Ja",Daten!M30,0)</f>
        <v>Blendenendstück Kunststoff, anthrazit, 95 mm</v>
      </c>
      <c r="AC19" s="21"/>
      <c r="AD19" s="21"/>
    </row>
    <row r="25" spans="11:30" x14ac:dyDescent="0.25">
      <c r="K25" s="16" t="s">
        <v>63</v>
      </c>
      <c r="L25" s="17">
        <f>T48-10</f>
        <v>40</v>
      </c>
      <c r="M25" s="17" t="s">
        <v>19</v>
      </c>
      <c r="N25" s="18"/>
      <c r="T25" s="16" t="s">
        <v>64</v>
      </c>
      <c r="U25" s="17">
        <f>126-T48</f>
        <v>76</v>
      </c>
      <c r="V25" s="18" t="s">
        <v>19</v>
      </c>
    </row>
    <row r="48" spans="3:21" x14ac:dyDescent="0.25">
      <c r="C48" s="16" t="s">
        <v>59</v>
      </c>
      <c r="D48" s="17">
        <f>'P P U L G '!U31</f>
        <v>1760</v>
      </c>
      <c r="E48" s="18" t="s">
        <v>19</v>
      </c>
      <c r="K48" s="16" t="s">
        <v>56</v>
      </c>
      <c r="L48" s="17">
        <f>'P P U L G '!D11</f>
        <v>750</v>
      </c>
      <c r="M48" s="18" t="s">
        <v>19</v>
      </c>
      <c r="S48" s="16" t="s">
        <v>57</v>
      </c>
      <c r="T48" s="17">
        <f>'P P U L G '!D25</f>
        <v>50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U L G '!U15</f>
        <v>940</v>
      </c>
      <c r="M50" s="18" t="s">
        <v>19</v>
      </c>
      <c r="S50" s="16" t="s">
        <v>58</v>
      </c>
      <c r="T50" s="17">
        <f>'P P U L G '!D27</f>
        <v>17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P U L G '!$D$29</f>
        <v>10</v>
      </c>
      <c r="U52" s="18" t="s">
        <v>19</v>
      </c>
    </row>
    <row r="62" spans="3:21" x14ac:dyDescent="0.25">
      <c r="C62" s="16" t="s">
        <v>61</v>
      </c>
      <c r="D62" s="17">
        <f>'P P U L G '!U35</f>
        <v>1760</v>
      </c>
      <c r="E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H6+52</f>
        <v>72</v>
      </c>
      <c r="E64" s="18" t="s">
        <v>19</v>
      </c>
    </row>
    <row r="68" spans="3:20" x14ac:dyDescent="0.25">
      <c r="T68" s="3" t="s">
        <v>198</v>
      </c>
    </row>
    <row r="69" spans="3:20" x14ac:dyDescent="0.25">
      <c r="C69" s="70" t="s">
        <v>16</v>
      </c>
      <c r="D69" s="71"/>
    </row>
    <row r="70" spans="3:20" x14ac:dyDescent="0.25">
      <c r="C70" s="72"/>
      <c r="D70" s="73"/>
    </row>
    <row r="72" spans="3:20" x14ac:dyDescent="0.25">
      <c r="C72" s="70" t="s">
        <v>8</v>
      </c>
      <c r="D72" s="71"/>
    </row>
    <row r="73" spans="3:20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0F40EFC5-E328-468C-B810-D19432839418}"/>
    <hyperlink ref="C69:D70" location="'P P U L G '!A1" display="Zurück" xr:uid="{A1EB75CC-F82B-482C-A610-73DAA1202CBD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3BBD-47B4-4A57-8A23-9DD4062CE2AE}">
  <dimension ref="B3:X53"/>
  <sheetViews>
    <sheetView zoomScale="85" zoomScaleNormal="85" workbookViewId="0"/>
  </sheetViews>
  <sheetFormatPr baseColWidth="10" defaultRowHeight="15" outlineLevelCol="1" x14ac:dyDescent="0.25"/>
  <cols>
    <col min="1" max="1" width="11.42578125" style="1"/>
    <col min="2" max="2" width="16.85546875" style="1" customWidth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129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1550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D13+D27+D31+6+U25</f>
        <v>1597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D11+(2*D27)+(2*D31)+10</f>
        <v>880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1.3640000000000001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34.1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34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26" t="s">
        <v>164</v>
      </c>
      <c r="D23" s="42" t="s">
        <v>154</v>
      </c>
      <c r="F23" s="26" t="str">
        <f>IF(D23="Porta 100","maximal 100 Kg Türgewicht",IF(D23="Porta 60","maximal 60 Kg Türgewicht",0))</f>
        <v>maximal 100 Kg Türgewicht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ht="30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6" t="s">
        <v>47</v>
      </c>
      <c r="V24" s="5"/>
      <c r="W24" s="5"/>
    </row>
    <row r="25" spans="2:23" x14ac:dyDescent="0.25">
      <c r="B25" s="126" t="s">
        <v>124</v>
      </c>
      <c r="C25" s="127"/>
      <c r="D25" s="127"/>
      <c r="E25" s="127"/>
      <c r="F25" s="128"/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v>31</v>
      </c>
      <c r="V25" s="5" t="s">
        <v>19</v>
      </c>
      <c r="W25" s="5" t="s">
        <v>2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30</v>
      </c>
      <c r="C27" s="1" t="s">
        <v>31</v>
      </c>
      <c r="D27" s="34">
        <v>50</v>
      </c>
      <c r="E27" s="1" t="s">
        <v>19</v>
      </c>
      <c r="F27" s="1" t="s">
        <v>34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D29+3</f>
        <v>20</v>
      </c>
      <c r="V27" s="5" t="s">
        <v>19</v>
      </c>
      <c r="W27" s="5" t="s">
        <v>67</v>
      </c>
    </row>
    <row r="28" spans="2:23" ht="6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2</v>
      </c>
      <c r="C29" s="1" t="s">
        <v>33</v>
      </c>
      <c r="D29" s="34">
        <v>17</v>
      </c>
      <c r="E29" s="1" t="s">
        <v>19</v>
      </c>
      <c r="F29" s="1" t="s">
        <v>32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(2*U15)-D21</f>
        <v>1640</v>
      </c>
      <c r="V29" s="5" t="s">
        <v>19</v>
      </c>
      <c r="W29" s="5" t="s">
        <v>48</v>
      </c>
    </row>
    <row r="30" spans="2:23" ht="6" customHeight="1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B31" s="1" t="s">
        <v>125</v>
      </c>
      <c r="C31" s="1" t="s">
        <v>126</v>
      </c>
      <c r="D31" s="34">
        <v>10</v>
      </c>
      <c r="E31" s="1" t="s">
        <v>19</v>
      </c>
      <c r="F31" s="1" t="s">
        <v>127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6" t="s">
        <v>49</v>
      </c>
      <c r="V31" s="5"/>
      <c r="W31" s="5"/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/>
      <c r="V32" s="5"/>
      <c r="W32" s="5"/>
    </row>
    <row r="33" spans="2:23" x14ac:dyDescent="0.25">
      <c r="B33" s="126" t="s">
        <v>35</v>
      </c>
      <c r="C33" s="127"/>
      <c r="D33" s="127"/>
      <c r="E33" s="127"/>
      <c r="F33" s="128"/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>
        <f>U29</f>
        <v>1640</v>
      </c>
      <c r="V33" s="5" t="s">
        <v>19</v>
      </c>
      <c r="W33" s="5" t="s">
        <v>48</v>
      </c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 t="str">
        <f>IF(U33&lt;2501,Daten!L24,IF(U33&lt;3501,Daten!L25,0))</f>
        <v>057.3112.250</v>
      </c>
      <c r="W34" s="5" t="str">
        <f>IF(U33&lt;2501,Daten!M24,IF(U33&lt;3501,Daten!M25,"siehe Katlaog"))</f>
        <v>Laufschiene Aluminium, eloxiert, gleocht 2500 mm</v>
      </c>
    </row>
    <row r="35" spans="2:23" x14ac:dyDescent="0.25">
      <c r="B35" s="1" t="s">
        <v>36</v>
      </c>
      <c r="D35" s="34" t="s">
        <v>40</v>
      </c>
      <c r="F35" s="1" t="s">
        <v>39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6" t="s">
        <v>101</v>
      </c>
      <c r="V35" s="5"/>
      <c r="W35" s="5"/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ht="30.75" customHeight="1" x14ac:dyDescent="0.25">
      <c r="B37" s="151" t="s">
        <v>162</v>
      </c>
      <c r="C37" s="152"/>
      <c r="D37" s="43" t="s">
        <v>40</v>
      </c>
      <c r="F37" s="1" t="s">
        <v>39</v>
      </c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>
        <f>U33</f>
        <v>1640</v>
      </c>
      <c r="V37" s="5" t="s">
        <v>19</v>
      </c>
      <c r="W37" s="5" t="s">
        <v>100</v>
      </c>
    </row>
    <row r="38" spans="2:23" ht="6" customHeight="1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 t="s">
        <v>18</v>
      </c>
      <c r="M39" s="30" t="s">
        <v>198</v>
      </c>
      <c r="O39" s="11"/>
      <c r="P39" s="11"/>
      <c r="Q39" s="11"/>
      <c r="R39" s="12"/>
      <c r="S39" s="11"/>
      <c r="T39" s="5"/>
      <c r="U39" s="5">
        <f>U27+52</f>
        <v>72</v>
      </c>
      <c r="V39" s="5" t="s">
        <v>19</v>
      </c>
      <c r="W39" s="5" t="s">
        <v>165</v>
      </c>
    </row>
    <row r="40" spans="2:23" ht="6" customHeight="1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 t="str">
        <f>IF(U37&lt;2501,Daten!L27,IF(U37&lt;3501,Daten!L28,Daten!L10))</f>
        <v>057.3113.250</v>
      </c>
      <c r="W41" s="5" t="str">
        <f>IF(U37&lt;2501,Daten!M27,IF(U37&lt;3501,Daten!M28,Daten!L10))</f>
        <v>Clip-Blende, Aluminium, eloxiert 2500 mm</v>
      </c>
    </row>
    <row r="42" spans="2:23" ht="6" customHeight="1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B43" s="70" t="s">
        <v>16</v>
      </c>
      <c r="C43" s="71"/>
      <c r="E43" s="70" t="s">
        <v>111</v>
      </c>
      <c r="F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E44" s="72"/>
      <c r="F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6" t="s">
        <v>53</v>
      </c>
      <c r="V45" s="5"/>
      <c r="W45" s="5"/>
    </row>
    <row r="46" spans="2:23" ht="6" customHeight="1" x14ac:dyDescent="0.25">
      <c r="B46" s="70" t="s">
        <v>8</v>
      </c>
      <c r="C46" s="71"/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B47" s="72"/>
      <c r="C47" s="73"/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>
        <f>U15-25</f>
        <v>855</v>
      </c>
      <c r="V47" s="5" t="s">
        <v>19</v>
      </c>
      <c r="W47" s="5" t="s">
        <v>110</v>
      </c>
    </row>
    <row r="48" spans="2:23" ht="6" customHeight="1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/>
      <c r="V48" s="5"/>
      <c r="W48" s="5"/>
    </row>
    <row r="49" spans="10:23" x14ac:dyDescent="0.25">
      <c r="J49" s="10"/>
      <c r="K49" s="11"/>
      <c r="L49" s="11"/>
      <c r="M49" s="11"/>
      <c r="N49" s="11"/>
      <c r="O49" s="11"/>
      <c r="P49" s="11"/>
      <c r="Q49" s="11"/>
      <c r="R49" s="12"/>
      <c r="S49" s="11"/>
      <c r="T49" s="5"/>
      <c r="U49" s="5">
        <f>U15-5</f>
        <v>875</v>
      </c>
      <c r="V49" s="5" t="s">
        <v>19</v>
      </c>
      <c r="W49" s="5" t="s">
        <v>54</v>
      </c>
    </row>
    <row r="50" spans="10:23" ht="6" customHeight="1" x14ac:dyDescent="0.25">
      <c r="J50" s="10"/>
      <c r="K50" s="11"/>
      <c r="L50" s="11"/>
      <c r="M50" s="11"/>
      <c r="N50" s="11"/>
      <c r="O50" s="11"/>
      <c r="P50" s="11"/>
      <c r="Q50" s="11"/>
      <c r="R50" s="12"/>
      <c r="S50" s="11"/>
      <c r="T50" s="5"/>
      <c r="U50" s="5"/>
      <c r="V50" s="5"/>
      <c r="W50" s="5"/>
    </row>
    <row r="51" spans="10:23" x14ac:dyDescent="0.25">
      <c r="J51" s="13"/>
      <c r="K51" s="14"/>
      <c r="L51" s="14"/>
      <c r="M51" s="14"/>
      <c r="N51" s="14"/>
      <c r="O51" s="14"/>
      <c r="P51" s="14"/>
      <c r="Q51" s="14"/>
      <c r="R51" s="15"/>
      <c r="S51" s="11"/>
      <c r="T51" s="5"/>
      <c r="U51" s="5"/>
      <c r="V51" s="5">
        <f>IF(U15&lt;931,Daten!F8,IF(U15&lt;1051,Daten!F9,IF(U15&lt;1181,Daten!F10,IF(U15&lt;1301,Daten!F11,Daten!F12))))</f>
        <v>30437</v>
      </c>
      <c r="W51" s="5" t="str">
        <f>IF(V51=30437,Daten!G8,IF(V51=30439,Daten!G9,IF(V51=30441,Daten!G10,IF(V51=30443,Daten!G11,Daten!G12))))</f>
        <v>Hawa Acoustics XS links</v>
      </c>
    </row>
    <row r="53" spans="10:23" x14ac:dyDescent="0.25">
      <c r="J53" s="19"/>
    </row>
  </sheetData>
  <sheetProtection sheet="1" objects="1" scenarios="1"/>
  <mergeCells count="9">
    <mergeCell ref="B43:C44"/>
    <mergeCell ref="E43:F44"/>
    <mergeCell ref="B46:C47"/>
    <mergeCell ref="B3:M5"/>
    <mergeCell ref="B7:M7"/>
    <mergeCell ref="B9:F9"/>
    <mergeCell ref="B25:F25"/>
    <mergeCell ref="B33:F33"/>
    <mergeCell ref="B37:C37"/>
  </mergeCells>
  <conditionalFormatting sqref="D15">
    <cfRule type="expression" dxfId="2" priority="1">
      <formula>$D$15&gt;2550</formula>
    </cfRule>
  </conditionalFormatting>
  <dataValidations count="9">
    <dataValidation type="whole" allowBlank="1" showInputMessage="1" showErrorMessage="1" errorTitle="Falsches Mass" error="Muss zwischen 6 und 25 mm sein" sqref="D29" xr:uid="{0C0E6F8E-7BE9-42CC-8340-47F5CA4A1446}">
      <formula1>6</formula1>
      <formula2>25</formula2>
    </dataValidation>
    <dataValidation type="whole" operator="greaterThan" allowBlank="1" showInputMessage="1" showErrorMessage="1" errorTitle="Flasches Mass" error="Muss min. 120 mm sein" sqref="D21:D22" xr:uid="{C3DE3ACA-5F99-4072-AE0B-C47807A6CAF8}">
      <formula1>119</formula1>
    </dataValidation>
    <dataValidation type="whole" allowBlank="1" showInputMessage="1" showErrorMessage="1" errorTitle="Falsches Mass" error="Muss zwischen 750 und 1250 mm sein" sqref="D11" xr:uid="{3F47026F-55AE-4169-A509-326D85E515A1}">
      <formula1>750</formula1>
      <formula2>1250</formula2>
    </dataValidation>
    <dataValidation type="whole" allowBlank="1" showInputMessage="1" showErrorMessage="1" errorTitle="Flasches Mass" error="Muss zwischen 1500 und 2550 mm sein" sqref="D15 D13" xr:uid="{BB1709DB-2A59-4309-A8F6-933FB69803D3}">
      <formula1>1500</formula1>
      <formula2>2550</formula2>
    </dataValidation>
    <dataValidation allowBlank="1" showInputMessage="1" showErrorMessage="1" errorTitle="Flasches Mass" error="Muss zwischen 44 und 50 mm sein" sqref="D19:D20" xr:uid="{5557C800-D5AC-45DE-83B9-555055585C50}"/>
    <dataValidation type="whole" allowBlank="1" showInputMessage="1" showErrorMessage="1" errorTitle="Falsches Mass" error="Muss zwischen 750 und 1250 mm sein" sqref="D30" xr:uid="{6CD4C22D-09AB-4E35-AB48-EEE2C05E4A1E}">
      <formula1>6</formula1>
      <formula2>25</formula2>
    </dataValidation>
    <dataValidation type="whole" allowBlank="1" showInputMessage="1" showErrorMessage="1" errorTitle="Falsches Mass" error="Muss zwischen 30 und 60 mm sein" sqref="D27" xr:uid="{8C5D5D8E-B0AF-451F-A227-8BA1DC19E6BA}">
      <formula1>30</formula1>
      <formula2>60</formula2>
    </dataValidation>
    <dataValidation type="whole" allowBlank="1" showInputMessage="1" showErrorMessage="1" errorTitle="Falsches Mass" error="Muss zwischen 0 und 20 mm sein" sqref="D31:D32" xr:uid="{D9832AEA-8266-47B9-B27A-AE8EA08014BB}">
      <formula1>0</formula1>
      <formula2>20</formula2>
    </dataValidation>
    <dataValidation type="whole" allowBlank="1" showInputMessage="1" showErrorMessage="1" errorTitle="Flasches Mass" error="Muss zwischen 39 und 45 mm sein" sqref="D17" xr:uid="{95F521C3-8ED4-4538-9EA8-E76A51FB9A4F}">
      <formula1>39</formula1>
      <formula2>45</formula2>
    </dataValidation>
  </dataValidations>
  <hyperlinks>
    <hyperlink ref="B46:C47" location="Startseite!A1" display="Home" xr:uid="{EBD9E4FA-8EA8-4964-81DD-C3E46052CDF1}"/>
    <hyperlink ref="B43:C44" location="'Art P U '!A1" display="Zurück" xr:uid="{17820B86-D848-4BFF-940C-AB95C75BD8DF}"/>
    <hyperlink ref="E43:F44" location="'26'!A1" display="Zum Plan " xr:uid="{DF014BE7-6483-437B-A97E-D4F78D0AD19A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BF4EFC57-881B-4C66-A2A9-37CEC5231BAA}">
          <x14:formula1>
            <xm:f>Daten!$B$2:$B$3</xm:f>
          </x14:formula1>
          <xm:sqref>D35 D39 D37</xm:sqref>
        </x14:dataValidation>
        <x14:dataValidation type="list" allowBlank="1" showInputMessage="1" showErrorMessage="1" xr:uid="{B27DDEE2-D59E-4802-A4B5-F64AC0512534}">
          <x14:formula1>
            <xm:f>Daten!$B$6:$B$7</xm:f>
          </x14:formula1>
          <xm:sqref>D23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D151-D8EE-4C98-B695-89161F48165D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5.71093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U L T  '!U27</f>
        <v>20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U L T  '!D15</f>
        <v>1597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U L T  '!U11</f>
        <v>1550</v>
      </c>
      <c r="I10" s="18" t="s">
        <v>19</v>
      </c>
      <c r="Z10" s="32">
        <f>IF('P P U L T  '!D23="Porta 60",Daten!F4,IF('P P U L T  '!D23="Porta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U L T  '!V51</f>
        <v>30437</v>
      </c>
      <c r="AA11" s="21">
        <v>1</v>
      </c>
      <c r="AB11" s="21" t="str">
        <f>'P P U L T  '!W51</f>
        <v>Hawa Acoustics XS links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U L T  '!U47</f>
        <v>855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U L T  '!U49</f>
        <v>875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U L T  '!V34</f>
        <v>057.3112.250</v>
      </c>
      <c r="AA15" s="21">
        <v>1</v>
      </c>
      <c r="AB15" s="21" t="str">
        <f>'P P U L T  '!W34</f>
        <v>Laufschiene Aluminium, eloxiert, gleocht 2500 mm</v>
      </c>
      <c r="AC15" s="21"/>
      <c r="AD15" s="21"/>
    </row>
    <row r="16" spans="6:30" x14ac:dyDescent="0.25">
      <c r="Z16" s="32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32" t="str">
        <f>'P P U L T  '!V41</f>
        <v>057.3113.250</v>
      </c>
      <c r="AA18" s="21">
        <f>IF('P P U L T  '!D35="JA",1,0)</f>
        <v>1</v>
      </c>
      <c r="AB18" s="21" t="str">
        <f>'P P U L T  '!W41</f>
        <v>Clip-Blende, Aluminium, eloxiert 2500 mm</v>
      </c>
      <c r="AC18" s="21"/>
      <c r="AD18" s="21"/>
    </row>
    <row r="19" spans="11:30" x14ac:dyDescent="0.25">
      <c r="Z19" s="32">
        <f>IF('P P U L T  '!D37="JA",Daten!L30,0)</f>
        <v>30485</v>
      </c>
      <c r="AA19" s="21">
        <f>IF('P P U L T  '!D37="JA",1,0)</f>
        <v>1</v>
      </c>
      <c r="AB19" s="21" t="str">
        <f>IF('P P U L T  '!D37="Ja",Daten!M30,0)</f>
        <v>Blendenendstück Kunststoff, anthrazit, 95 mm</v>
      </c>
      <c r="AC19" s="21"/>
      <c r="AD19" s="21"/>
    </row>
    <row r="25" spans="11:30" x14ac:dyDescent="0.25">
      <c r="K25" s="16" t="s">
        <v>63</v>
      </c>
      <c r="L25" s="17">
        <f>T48-10</f>
        <v>40</v>
      </c>
      <c r="M25" s="17" t="s">
        <v>19</v>
      </c>
      <c r="N25" s="18"/>
    </row>
    <row r="48" spans="3:21" x14ac:dyDescent="0.25">
      <c r="C48" s="16" t="s">
        <v>59</v>
      </c>
      <c r="D48" s="17">
        <f>'P P U L T  '!U33</f>
        <v>1640</v>
      </c>
      <c r="E48" s="18" t="s">
        <v>19</v>
      </c>
      <c r="K48" s="16" t="s">
        <v>56</v>
      </c>
      <c r="L48" s="17">
        <f>'P P U L T  '!D11</f>
        <v>750</v>
      </c>
      <c r="M48" s="18" t="s">
        <v>19</v>
      </c>
      <c r="S48" s="16" t="s">
        <v>57</v>
      </c>
      <c r="T48" s="17">
        <f>'P P U L T  '!D27</f>
        <v>50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U L T  '!U15</f>
        <v>880</v>
      </c>
      <c r="M50" s="18" t="s">
        <v>19</v>
      </c>
      <c r="S50" s="16" t="s">
        <v>58</v>
      </c>
      <c r="T50" s="17">
        <f>'P P U L T  '!D29</f>
        <v>17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P U L T  '!D31</f>
        <v>10</v>
      </c>
      <c r="U52" s="18" t="s">
        <v>19</v>
      </c>
    </row>
    <row r="62" spans="3:21" x14ac:dyDescent="0.25">
      <c r="C62" s="16" t="s">
        <v>61</v>
      </c>
      <c r="D62" s="17">
        <f>'P P U L T  '!U37</f>
        <v>1640</v>
      </c>
      <c r="E62" s="18" t="s">
        <v>19</v>
      </c>
      <c r="K62" s="16" t="s">
        <v>114</v>
      </c>
      <c r="L62" s="17">
        <f>'P P U L T  '!D21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H6+53</f>
        <v>73</v>
      </c>
      <c r="E64" s="18" t="s">
        <v>19</v>
      </c>
    </row>
    <row r="66" spans="3:22" x14ac:dyDescent="0.25">
      <c r="V66" s="3" t="s">
        <v>198</v>
      </c>
    </row>
    <row r="69" spans="3:22" x14ac:dyDescent="0.25">
      <c r="C69" s="70" t="s">
        <v>16</v>
      </c>
      <c r="D69" s="71"/>
    </row>
    <row r="70" spans="3:22" x14ac:dyDescent="0.25">
      <c r="C70" s="72"/>
      <c r="D70" s="73"/>
    </row>
    <row r="72" spans="3:22" x14ac:dyDescent="0.25">
      <c r="C72" s="70" t="s">
        <v>8</v>
      </c>
      <c r="D72" s="71"/>
    </row>
    <row r="73" spans="3:22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BEC044A9-FBCE-4A2F-A106-6B8EE0CBA32E}"/>
    <hyperlink ref="C69:D70" location="'P P U L T  '!A1" display="Zurück" xr:uid="{9F0E7B61-6E48-410C-B1BD-3BB032F9CDF9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B57D-BC82-436E-B658-ADF6A06CA5CC}">
  <dimension ref="B3:X51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1531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D13+D25+D29+6+U23</f>
        <v>1578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D11+D25+(2*D29)+120</f>
        <v>922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1.4115819999999999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35.289549999999998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124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31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C25" s="1" t="s">
        <v>31</v>
      </c>
      <c r="D25" s="34">
        <v>30</v>
      </c>
      <c r="E25" s="1" t="s">
        <v>19</v>
      </c>
      <c r="F25" s="1" t="s">
        <v>34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D27+3</f>
        <v>9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(2*U15)-120</f>
        <v>1724</v>
      </c>
      <c r="V27" s="5" t="s">
        <v>19</v>
      </c>
      <c r="W27" s="5" t="s">
        <v>48</v>
      </c>
    </row>
    <row r="28" spans="2:23" ht="6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125</v>
      </c>
      <c r="C29" s="1" t="s">
        <v>126</v>
      </c>
      <c r="D29" s="34">
        <v>11</v>
      </c>
      <c r="E29" s="1" t="s">
        <v>19</v>
      </c>
      <c r="F29" s="1" t="s">
        <v>127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/>
      <c r="V30" s="5"/>
      <c r="W30" s="5"/>
    </row>
    <row r="31" spans="2:23" x14ac:dyDescent="0.25">
      <c r="B31" s="126" t="s">
        <v>35</v>
      </c>
      <c r="C31" s="127"/>
      <c r="D31" s="127"/>
      <c r="E31" s="127"/>
      <c r="F31" s="128"/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>
        <f>U27</f>
        <v>1724</v>
      </c>
      <c r="V31" s="5" t="s">
        <v>19</v>
      </c>
      <c r="W31" s="5" t="s">
        <v>48</v>
      </c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 t="str">
        <f>IF(U31&lt;2501,Daten!L24,IF(U31&lt;3501,Daten!L25,0))</f>
        <v>057.3112.250</v>
      </c>
      <c r="W32" s="5" t="str">
        <f>IF(U31&lt;2501,Daten!M24,IF(U31&lt;3501,Daten!M25,"siehe Katlaog"))</f>
        <v>Laufschiene Aluminium, eloxiert, gleocht 2500 mm</v>
      </c>
    </row>
    <row r="33" spans="2:23" x14ac:dyDescent="0.25">
      <c r="B33" s="1" t="s">
        <v>36</v>
      </c>
      <c r="D33" s="34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6" t="s">
        <v>101</v>
      </c>
      <c r="V33" s="5"/>
      <c r="W33" s="5"/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ht="30" customHeight="1" x14ac:dyDescent="0.25">
      <c r="B35" s="151" t="s">
        <v>162</v>
      </c>
      <c r="C35" s="152"/>
      <c r="D35" s="44" t="s">
        <v>40</v>
      </c>
      <c r="F35" s="1" t="s">
        <v>39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>
        <f>U31</f>
        <v>1724</v>
      </c>
      <c r="V35" s="5" t="s">
        <v>19</v>
      </c>
      <c r="W35" s="5" t="s">
        <v>100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J37" s="10"/>
      <c r="K37" s="11"/>
      <c r="L37" s="11"/>
      <c r="M37" s="11"/>
      <c r="N37" s="11" t="s">
        <v>18</v>
      </c>
      <c r="O37" s="11"/>
      <c r="P37" s="11"/>
      <c r="Q37" s="11"/>
      <c r="R37" s="12"/>
      <c r="S37" s="11"/>
      <c r="T37" s="5"/>
      <c r="U37" s="5">
        <f>U25+52</f>
        <v>61</v>
      </c>
      <c r="V37" s="5" t="s">
        <v>19</v>
      </c>
      <c r="W37" s="5" t="s">
        <v>52</v>
      </c>
    </row>
    <row r="38" spans="2:23" ht="6" customHeight="1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 t="str">
        <f>IF(U35&lt;2501,Daten!L27,IF(U35&lt;3501,Daten!L28,Daten!L10))</f>
        <v>057.3113.250</v>
      </c>
      <c r="W39" s="5" t="str">
        <f>IF(U35&lt;2501,Daten!M27,IF(U35&lt;3501,Daten!M28,Daten!L10))</f>
        <v>Clip-Blende, Aluminium, eloxiert 2500 mm</v>
      </c>
    </row>
    <row r="40" spans="2:23" ht="6" customHeight="1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153" t="s">
        <v>16</v>
      </c>
      <c r="C41" s="154"/>
      <c r="E41" s="153" t="s">
        <v>111</v>
      </c>
      <c r="F41" s="154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155"/>
      <c r="C42" s="156"/>
      <c r="E42" s="155"/>
      <c r="F42" s="156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6" t="s">
        <v>53</v>
      </c>
      <c r="V43" s="5"/>
      <c r="W43" s="5"/>
    </row>
    <row r="44" spans="2:23" ht="6" customHeight="1" x14ac:dyDescent="0.25">
      <c r="B44" s="70" t="s">
        <v>8</v>
      </c>
      <c r="C44" s="71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B45" s="72"/>
      <c r="C45" s="73"/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>
        <f>U15-25</f>
        <v>897</v>
      </c>
      <c r="V45" s="5" t="s">
        <v>19</v>
      </c>
      <c r="W45" s="5" t="s">
        <v>110</v>
      </c>
    </row>
    <row r="46" spans="2:23" ht="6" customHeight="1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>
        <f>U15-5</f>
        <v>917</v>
      </c>
      <c r="V47" s="5" t="s">
        <v>19</v>
      </c>
      <c r="W47" s="5" t="s">
        <v>54</v>
      </c>
    </row>
    <row r="48" spans="2:23" ht="6" customHeight="1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/>
      <c r="V48" s="5"/>
      <c r="W48" s="5"/>
    </row>
    <row r="49" spans="10:23" x14ac:dyDescent="0.25">
      <c r="J49" s="13"/>
      <c r="K49" s="14"/>
      <c r="L49" s="14"/>
      <c r="M49" s="14"/>
      <c r="N49" s="14"/>
      <c r="O49" s="14"/>
      <c r="P49" s="14"/>
      <c r="Q49" s="14"/>
      <c r="R49" s="15"/>
      <c r="S49" s="11"/>
      <c r="T49" s="5"/>
      <c r="U49" s="5"/>
      <c r="V49" s="5">
        <f>IF(U15&lt;931,Daten!I8,IF(U15&lt;1051,Daten!I9,IF(U15&lt;1181,Daten!I10,IF(U15&lt;1301,Daten!I11,Daten!I12))))</f>
        <v>30436</v>
      </c>
      <c r="W49" s="5" t="str">
        <f>IF(V49=30436,Daten!J8,IF(V49=30438,Daten!J9,IF(V49=30440,Daten!J10,IF(V49=30442,Daten!J11,Daten!J12))))</f>
        <v xml:space="preserve">Hawa Acoustics XS rechts </v>
      </c>
    </row>
    <row r="51" spans="10:23" x14ac:dyDescent="0.25">
      <c r="J51" s="19"/>
    </row>
  </sheetData>
  <sheetProtection sheet="1" objects="1" scenarios="1"/>
  <mergeCells count="9">
    <mergeCell ref="B41:C42"/>
    <mergeCell ref="E41:F42"/>
    <mergeCell ref="B44:C45"/>
    <mergeCell ref="B3:M5"/>
    <mergeCell ref="B7:M7"/>
    <mergeCell ref="B9:F9"/>
    <mergeCell ref="B23:F23"/>
    <mergeCell ref="B31:F31"/>
    <mergeCell ref="B35:C35"/>
  </mergeCells>
  <conditionalFormatting sqref="D15">
    <cfRule type="expression" dxfId="1" priority="1">
      <formula>$D$15&gt;2550</formula>
    </cfRule>
  </conditionalFormatting>
  <dataValidations count="8">
    <dataValidation type="whole" allowBlank="1" showInputMessage="1" showErrorMessage="1" errorTitle="Falsches Mass" error="Muss zwischen 750 und 1250 mm sein" sqref="D11" xr:uid="{F72BAFFE-AF7A-4A50-A37E-B9658FE20AD8}">
      <formula1>750</formula1>
      <formula2>1250</formula2>
    </dataValidation>
    <dataValidation type="whole" allowBlank="1" showInputMessage="1" showErrorMessage="1" errorTitle="Flasches Mass" error="Muss zwischen 1500 und 2550 mm sein" sqref="D15 D13" xr:uid="{8313E208-CFD1-4D6C-98C2-F86EFDAE7111}">
      <formula1>1500</formula1>
      <formula2>2550</formula2>
    </dataValidation>
    <dataValidation allowBlank="1" showInputMessage="1" showErrorMessage="1" errorTitle="Flasches Mass" error="Muss zwischen 44 und 50 mm sein" sqref="D19:D20" xr:uid="{2421A49A-8A71-4C42-9671-975F7591892F}"/>
    <dataValidation type="whole" allowBlank="1" showInputMessage="1" showErrorMessage="1" errorTitle="Falsches Mass" error="Muss zwischen 750 und 1250 mm sein" sqref="D28" xr:uid="{EDE36723-0FC1-43CA-93C0-4FB2BAE7D449}">
      <formula1>6</formula1>
      <formula2>25</formula2>
    </dataValidation>
    <dataValidation type="whole" allowBlank="1" showInputMessage="1" showErrorMessage="1" errorTitle="Falsches Mass" error="Muss zwischen 30 und 60 mm sein" sqref="D25" xr:uid="{BB0325A7-F87F-461C-911B-33793469D95B}">
      <formula1>30</formula1>
      <formula2>60</formula2>
    </dataValidation>
    <dataValidation type="whole" allowBlank="1" showInputMessage="1" showErrorMessage="1" errorTitle="Falsches Mass" error="Muss zwischen 6 und 25 mm sein" sqref="D27" xr:uid="{E7A31EBF-02B5-45CD-BCEE-3F6EFE925395}">
      <formula1>6</formula1>
      <formula2>25</formula2>
    </dataValidation>
    <dataValidation type="whole" allowBlank="1" showInputMessage="1" showErrorMessage="1" errorTitle="Falsches Mass" error="Muss zwischen 0 und 20 mm sein" sqref="D29:D30" xr:uid="{AAD7A91D-26FE-435D-A008-ADFFF9CFDACB}">
      <formula1>0</formula1>
      <formula2>20</formula2>
    </dataValidation>
    <dataValidation type="whole" allowBlank="1" showInputMessage="1" showErrorMessage="1" errorTitle="Flasches Mass" error="Muss zwischen 39 und 45 mm sein" sqref="D17" xr:uid="{A125F5BA-196D-4ACD-A9E9-594E66CD8E04}">
      <formula1>39</formula1>
      <formula2>45</formula2>
    </dataValidation>
  </dataValidations>
  <hyperlinks>
    <hyperlink ref="B44:C45" location="Startseite!A1" display="Home" xr:uid="{2D12F6D4-3D51-4FA7-BE3B-44DA09F309C9}"/>
    <hyperlink ref="B41:C42" location="'Art P U '!A1" display="Zurück" xr:uid="{D3842B46-448A-4537-A172-5483B1F42930}"/>
    <hyperlink ref="E41:F42" location="'31'!A1" display="Zum Plan " xr:uid="{A1FD8F04-150F-43C2-8B97-E91A5A6CB2AB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35D792B2-F474-4690-83ED-4BE77E2B2EB6}">
          <x14:formula1>
            <xm:f>Daten!$B$2:$B$3</xm:f>
          </x14:formula1>
          <xm:sqref>D33 D37 D35</xm:sqref>
        </x14:dataValidation>
        <x14:dataValidation type="list" allowBlank="1" showInputMessage="1" showErrorMessage="1" xr:uid="{50AA86CE-C355-48F0-8423-3A489C3BC55A}">
          <x14:formula1>
            <xm:f>Daten!$B$6:$B$7</xm:f>
          </x14:formula1>
          <xm:sqref>D21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1CD2-07C9-472D-91B8-D78AC5EE88F4}">
  <sheetPr>
    <pageSetUpPr fitToPage="1"/>
  </sheetPr>
  <dimension ref="C2:AD73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14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bestFit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U R G  '!U25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U R G  '!D15</f>
        <v>1578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U R G  '!U11</f>
        <v>1531</v>
      </c>
      <c r="I10" s="18" t="s">
        <v>19</v>
      </c>
      <c r="Z10" s="32">
        <f>IF('P P U R G  '!D21="Porta 60",Daten!F4,IF('P P U R G  '!D21="Porta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U R G  '!V49</f>
        <v>30436</v>
      </c>
      <c r="AA11" s="21">
        <v>1</v>
      </c>
      <c r="AB11" s="21" t="str">
        <f>'P P U R G  '!W49</f>
        <v xml:space="preserve">Hawa Acoustics XS rechts 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U R G  '!U45</f>
        <v>897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U R G  '!U47</f>
        <v>917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U R G  '!V32</f>
        <v>057.3112.250</v>
      </c>
      <c r="AA15" s="21">
        <v>1</v>
      </c>
      <c r="AB15" s="21" t="str">
        <f>'P P U R G  '!W32</f>
        <v>Laufschiene Aluminium, eloxiert, gleocht 2500 mm</v>
      </c>
      <c r="AC15" s="21"/>
      <c r="AD15" s="21"/>
    </row>
    <row r="16" spans="6:30" x14ac:dyDescent="0.25">
      <c r="Z16" s="32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32" t="str">
        <f>'P P U R G  '!V39</f>
        <v>057.3113.250</v>
      </c>
      <c r="AA18" s="21">
        <f>IF('P P U R G  '!D33="JA",1,0)</f>
        <v>1</v>
      </c>
      <c r="AB18" s="21" t="str">
        <f>'P P U R G  '!W39</f>
        <v>Clip-Blende, Aluminium, eloxiert 2500 mm</v>
      </c>
      <c r="AC18" s="21"/>
      <c r="AD18" s="21"/>
    </row>
    <row r="19" spans="11:30" x14ac:dyDescent="0.25">
      <c r="Z19" s="32">
        <f>IF('P P U R G  '!D35="JA",Daten!L30,0)</f>
        <v>30485</v>
      </c>
      <c r="AA19" s="21">
        <f>IF('P P U R G  '!D35="JA",1,0)</f>
        <v>1</v>
      </c>
      <c r="AB19" s="21" t="str">
        <f>IF('P P U R G  '!D35="Ja",Daten!M30,0)</f>
        <v>Blendenendstück Kunststoff, anthrazit, 95 mm</v>
      </c>
      <c r="AC19" s="21"/>
      <c r="AD19" s="21"/>
    </row>
    <row r="25" spans="11:30" x14ac:dyDescent="0.25">
      <c r="K25" s="16" t="s">
        <v>145</v>
      </c>
      <c r="L25" s="17">
        <f>126-T48</f>
        <v>96</v>
      </c>
      <c r="M25" s="17" t="s">
        <v>19</v>
      </c>
      <c r="N25" s="18"/>
      <c r="T25" s="16" t="s">
        <v>146</v>
      </c>
      <c r="U25" s="17">
        <f>T48-10</f>
        <v>20</v>
      </c>
      <c r="V25" s="18" t="s">
        <v>19</v>
      </c>
    </row>
    <row r="48" spans="3:21" x14ac:dyDescent="0.25">
      <c r="C48" s="16" t="s">
        <v>59</v>
      </c>
      <c r="D48" s="17">
        <f>'P P U R G  '!U27</f>
        <v>1724</v>
      </c>
      <c r="E48" s="18" t="s">
        <v>19</v>
      </c>
      <c r="K48" s="16" t="s">
        <v>56</v>
      </c>
      <c r="L48" s="17">
        <f>'P P U R G  '!D11</f>
        <v>750</v>
      </c>
      <c r="M48" s="18" t="s">
        <v>19</v>
      </c>
      <c r="S48" s="16" t="s">
        <v>57</v>
      </c>
      <c r="T48" s="17">
        <f>'P P U R G  '!D25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U R G  '!U15</f>
        <v>922</v>
      </c>
      <c r="M50" s="18" t="s">
        <v>19</v>
      </c>
      <c r="S50" s="16" t="s">
        <v>58</v>
      </c>
      <c r="T50" s="17">
        <f>'P P U R G  '!D27</f>
        <v>6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P U R G  '!$D$29</f>
        <v>11</v>
      </c>
      <c r="U52" s="18" t="s">
        <v>19</v>
      </c>
    </row>
    <row r="62" spans="3:21" x14ac:dyDescent="0.25">
      <c r="C62" s="16" t="s">
        <v>61</v>
      </c>
      <c r="D62" s="17">
        <f>'P P U R G  '!U35</f>
        <v>1724</v>
      </c>
      <c r="E62" s="18" t="s">
        <v>19</v>
      </c>
    </row>
    <row r="63" spans="3:21" ht="6" customHeight="1" x14ac:dyDescent="0.25"/>
    <row r="64" spans="3:21" x14ac:dyDescent="0.25">
      <c r="C64" s="16" t="s">
        <v>69</v>
      </c>
      <c r="D64" s="17">
        <f>H6+53</f>
        <v>62</v>
      </c>
      <c r="E64" s="18" t="s">
        <v>19</v>
      </c>
    </row>
    <row r="68" spans="3:21" x14ac:dyDescent="0.25">
      <c r="U68" s="3" t="s">
        <v>198</v>
      </c>
    </row>
    <row r="69" spans="3:21" x14ac:dyDescent="0.25">
      <c r="C69" s="70" t="s">
        <v>16</v>
      </c>
      <c r="D69" s="71"/>
    </row>
    <row r="70" spans="3:21" x14ac:dyDescent="0.25">
      <c r="C70" s="72"/>
      <c r="D70" s="73"/>
    </row>
    <row r="72" spans="3:21" x14ac:dyDescent="0.25">
      <c r="C72" s="70" t="s">
        <v>8</v>
      </c>
      <c r="D72" s="71"/>
    </row>
    <row r="73" spans="3:21" x14ac:dyDescent="0.25">
      <c r="C73" s="72"/>
      <c r="D73" s="73"/>
    </row>
  </sheetData>
  <sheetProtection sheet="1" objects="1" scenarios="1"/>
  <mergeCells count="2">
    <mergeCell ref="C69:D70"/>
    <mergeCell ref="C72:D73"/>
  </mergeCells>
  <hyperlinks>
    <hyperlink ref="C72:D73" location="Startseite!A1" display="Home" xr:uid="{FA6AAA63-5826-45E1-B8C3-31188CCEF39C}"/>
    <hyperlink ref="C69:D70" location="'P P U R G  '!A1" display="Zurück" xr:uid="{2E760EFD-871A-4C4B-B531-799946D709BF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4569-AB38-42FB-888A-AB57D032E249}">
  <dimension ref="B3:X53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46.57031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150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D15-31-6-10</f>
        <v>1531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ht="15" customHeight="1" x14ac:dyDescent="0.25">
      <c r="B13" s="1" t="s">
        <v>195</v>
      </c>
      <c r="D13" s="34">
        <v>1500</v>
      </c>
      <c r="E13" s="1" t="s">
        <v>19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/>
      <c r="V13" s="5"/>
      <c r="W13" s="5"/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21</v>
      </c>
      <c r="D15" s="24">
        <f>D13+D27+D31+6+U25</f>
        <v>1578</v>
      </c>
      <c r="E15" s="1" t="s">
        <v>19</v>
      </c>
      <c r="F15" s="1" t="s">
        <v>22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D11+(2*D27)+(2*D31)+10</f>
        <v>842</v>
      </c>
      <c r="V15" s="5" t="s">
        <v>19</v>
      </c>
      <c r="W15" s="5" t="s">
        <v>104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23</v>
      </c>
      <c r="D17" s="34">
        <v>40</v>
      </c>
      <c r="E17" s="1" t="s">
        <v>19</v>
      </c>
      <c r="F17" s="1" t="s">
        <v>168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>
        <f>(U11*U15)/1000000</f>
        <v>1.289102</v>
      </c>
      <c r="V17" s="5" t="s">
        <v>44</v>
      </c>
      <c r="W17" s="5" t="s">
        <v>43</v>
      </c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25</v>
      </c>
      <c r="D19" s="34">
        <v>25</v>
      </c>
      <c r="E19" s="1" t="s">
        <v>26</v>
      </c>
      <c r="F19" s="1" t="s">
        <v>27</v>
      </c>
      <c r="H19" s="4">
        <f>U17*D19</f>
        <v>32.227550000000001</v>
      </c>
      <c r="I19" s="1" t="s">
        <v>45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6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1" t="s">
        <v>112</v>
      </c>
      <c r="D21" s="34">
        <v>120</v>
      </c>
      <c r="E21" s="1" t="s">
        <v>19</v>
      </c>
      <c r="F21" s="1" t="s">
        <v>113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26" t="s">
        <v>164</v>
      </c>
      <c r="D23" s="42" t="s">
        <v>154</v>
      </c>
      <c r="F23" s="26" t="str">
        <f>IF(D23="Porta 100","maximal 100 Kg Türgewicht",IF(D23="Porta 60","maximal 60 Kg Türgewicht",0))</f>
        <v>maximal 100 Kg Türgewicht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ht="30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6" t="s">
        <v>47</v>
      </c>
      <c r="V24" s="5"/>
      <c r="W24" s="5"/>
    </row>
    <row r="25" spans="2:23" x14ac:dyDescent="0.25">
      <c r="B25" s="126" t="s">
        <v>124</v>
      </c>
      <c r="C25" s="127"/>
      <c r="D25" s="127"/>
      <c r="E25" s="127"/>
      <c r="F25" s="128"/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v>31</v>
      </c>
      <c r="V25" s="5" t="s">
        <v>19</v>
      </c>
      <c r="W25" s="5" t="s">
        <v>2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30</v>
      </c>
      <c r="C27" s="1" t="s">
        <v>31</v>
      </c>
      <c r="D27" s="34">
        <v>30</v>
      </c>
      <c r="E27" s="1" t="s">
        <v>19</v>
      </c>
      <c r="F27" s="1" t="s">
        <v>34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D29+3</f>
        <v>9</v>
      </c>
      <c r="V27" s="5" t="s">
        <v>19</v>
      </c>
      <c r="W27" s="5" t="s">
        <v>67</v>
      </c>
    </row>
    <row r="28" spans="2:23" ht="6" customHeight="1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B29" s="1" t="s">
        <v>2</v>
      </c>
      <c r="C29" s="1" t="s">
        <v>33</v>
      </c>
      <c r="D29" s="34">
        <v>6</v>
      </c>
      <c r="E29" s="1" t="s">
        <v>19</v>
      </c>
      <c r="F29" s="1" t="s">
        <v>32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>
        <f>(2*U15)-D21</f>
        <v>1564</v>
      </c>
      <c r="V29" s="5" t="s">
        <v>19</v>
      </c>
      <c r="W29" s="5" t="s">
        <v>48</v>
      </c>
    </row>
    <row r="30" spans="2:23" ht="6" customHeight="1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B31" s="1" t="s">
        <v>125</v>
      </c>
      <c r="C31" s="1" t="s">
        <v>126</v>
      </c>
      <c r="D31" s="34">
        <v>11</v>
      </c>
      <c r="E31" s="1" t="s">
        <v>19</v>
      </c>
      <c r="F31" s="1" t="s">
        <v>127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6" t="s">
        <v>49</v>
      </c>
      <c r="V31" s="5"/>
      <c r="W31" s="5"/>
    </row>
    <row r="32" spans="2:23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6"/>
      <c r="V32" s="5"/>
      <c r="W32" s="5"/>
    </row>
    <row r="33" spans="2:23" x14ac:dyDescent="0.25">
      <c r="B33" s="126" t="s">
        <v>35</v>
      </c>
      <c r="C33" s="127"/>
      <c r="D33" s="127"/>
      <c r="E33" s="127"/>
      <c r="F33" s="128"/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>
        <f>U29</f>
        <v>1564</v>
      </c>
      <c r="V33" s="5" t="s">
        <v>19</v>
      </c>
      <c r="W33" s="5" t="s">
        <v>48</v>
      </c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 t="str">
        <f>IF(U33&lt;2501,Daten!L24,IF(U33&lt;3501,Daten!L25,0))</f>
        <v>057.3112.250</v>
      </c>
      <c r="W34" s="5" t="str">
        <f>IF(U33&lt;2501,Daten!M24,IF(U33&lt;3501,Daten!M25,"siehe Katlaog"))</f>
        <v>Laufschiene Aluminium, eloxiert, gleocht 2500 mm</v>
      </c>
    </row>
    <row r="35" spans="2:23" x14ac:dyDescent="0.25">
      <c r="B35" s="1" t="s">
        <v>36</v>
      </c>
      <c r="D35" s="34" t="s">
        <v>40</v>
      </c>
      <c r="F35" s="1" t="s">
        <v>39</v>
      </c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6" t="s">
        <v>101</v>
      </c>
      <c r="V35" s="5"/>
      <c r="W35" s="5"/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ht="30.75" customHeight="1" x14ac:dyDescent="0.25">
      <c r="B37" s="151" t="s">
        <v>162</v>
      </c>
      <c r="C37" s="152"/>
      <c r="D37" s="43" t="s">
        <v>40</v>
      </c>
      <c r="F37" s="1" t="s">
        <v>39</v>
      </c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>
        <f>U33</f>
        <v>1564</v>
      </c>
      <c r="V37" s="5" t="s">
        <v>19</v>
      </c>
      <c r="W37" s="5" t="s">
        <v>100</v>
      </c>
    </row>
    <row r="38" spans="2:23" ht="6" customHeight="1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 t="s">
        <v>18</v>
      </c>
      <c r="O39" s="11"/>
      <c r="P39" s="11"/>
      <c r="Q39" s="11"/>
      <c r="R39" s="12"/>
      <c r="S39" s="11"/>
      <c r="T39" s="5"/>
      <c r="U39" s="5">
        <f>U27+52</f>
        <v>61</v>
      </c>
      <c r="V39" s="5" t="s">
        <v>19</v>
      </c>
      <c r="W39" s="5" t="s">
        <v>52</v>
      </c>
    </row>
    <row r="40" spans="2:23" ht="6" customHeight="1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 t="str">
        <f>IF(U37&lt;2501,Daten!L27,IF(U37&lt;3501,Daten!L28,Daten!L10))</f>
        <v>057.3113.250</v>
      </c>
      <c r="W41" s="5" t="str">
        <f>IF(U37&lt;2501,Daten!M27,IF(U37&lt;3501,Daten!M28,Daten!L10))</f>
        <v>Clip-Blende, Aluminium, eloxiert 2500 mm</v>
      </c>
    </row>
    <row r="42" spans="2:23" ht="6" customHeight="1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B43" s="70" t="s">
        <v>16</v>
      </c>
      <c r="C43" s="71"/>
      <c r="E43" s="70" t="s">
        <v>111</v>
      </c>
      <c r="F43" s="71"/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B44" s="72"/>
      <c r="C44" s="73"/>
      <c r="E44" s="72"/>
      <c r="F44" s="73"/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6" t="s">
        <v>53</v>
      </c>
      <c r="V45" s="5"/>
      <c r="W45" s="5"/>
    </row>
    <row r="46" spans="2:23" ht="6" customHeight="1" x14ac:dyDescent="0.25">
      <c r="B46" s="70" t="s">
        <v>8</v>
      </c>
      <c r="C46" s="71"/>
      <c r="J46" s="10"/>
      <c r="K46" s="11"/>
      <c r="L46" s="11"/>
      <c r="M46" s="11"/>
      <c r="N46" s="11"/>
      <c r="O46" s="11"/>
      <c r="P46" s="11"/>
      <c r="Q46" s="11"/>
      <c r="R46" s="12"/>
      <c r="S46" s="11"/>
      <c r="T46" s="5"/>
      <c r="U46" s="5"/>
      <c r="V46" s="5"/>
      <c r="W46" s="5"/>
    </row>
    <row r="47" spans="2:23" x14ac:dyDescent="0.25">
      <c r="B47" s="72"/>
      <c r="C47" s="73"/>
      <c r="J47" s="10"/>
      <c r="K47" s="11"/>
      <c r="L47" s="11"/>
      <c r="M47" s="11"/>
      <c r="N47" s="11"/>
      <c r="O47" s="11"/>
      <c r="P47" s="11"/>
      <c r="Q47" s="11"/>
      <c r="R47" s="12"/>
      <c r="S47" s="11"/>
      <c r="T47" s="5"/>
      <c r="U47" s="5">
        <f>U15-25</f>
        <v>817</v>
      </c>
      <c r="V47" s="5" t="s">
        <v>19</v>
      </c>
      <c r="W47" s="5" t="s">
        <v>110</v>
      </c>
    </row>
    <row r="48" spans="2:23" ht="6" customHeight="1" x14ac:dyDescent="0.25">
      <c r="J48" s="10"/>
      <c r="K48" s="11"/>
      <c r="L48" s="11"/>
      <c r="M48" s="11"/>
      <c r="N48" s="11"/>
      <c r="O48" s="11"/>
      <c r="P48" s="11"/>
      <c r="Q48" s="11"/>
      <c r="R48" s="12"/>
      <c r="S48" s="11"/>
      <c r="T48" s="5"/>
      <c r="U48" s="5"/>
      <c r="V48" s="5"/>
      <c r="W48" s="5"/>
    </row>
    <row r="49" spans="10:23" x14ac:dyDescent="0.25">
      <c r="J49" s="10"/>
      <c r="K49" s="11"/>
      <c r="L49" s="11"/>
      <c r="M49" s="11"/>
      <c r="N49" s="11"/>
      <c r="O49" s="11"/>
      <c r="P49" s="11"/>
      <c r="Q49" s="11"/>
      <c r="R49" s="12"/>
      <c r="S49" s="11"/>
      <c r="T49" s="5"/>
      <c r="U49" s="5">
        <f>U15-5</f>
        <v>837</v>
      </c>
      <c r="V49" s="5" t="s">
        <v>19</v>
      </c>
      <c r="W49" s="5" t="s">
        <v>54</v>
      </c>
    </row>
    <row r="50" spans="10:23" ht="6" customHeight="1" x14ac:dyDescent="0.25">
      <c r="J50" s="10"/>
      <c r="K50" s="11"/>
      <c r="L50" s="11"/>
      <c r="M50" s="11"/>
      <c r="N50" s="11"/>
      <c r="O50" s="11"/>
      <c r="P50" s="11"/>
      <c r="Q50" s="11"/>
      <c r="R50" s="12"/>
      <c r="S50" s="11"/>
      <c r="T50" s="5"/>
      <c r="U50" s="5"/>
      <c r="V50" s="5"/>
      <c r="W50" s="5"/>
    </row>
    <row r="51" spans="10:23" x14ac:dyDescent="0.25">
      <c r="J51" s="13"/>
      <c r="K51" s="14"/>
      <c r="L51" s="14"/>
      <c r="M51" s="14"/>
      <c r="N51" s="14"/>
      <c r="O51" s="14"/>
      <c r="P51" s="14"/>
      <c r="Q51" s="14"/>
      <c r="R51" s="15"/>
      <c r="S51" s="11"/>
      <c r="T51" s="5"/>
      <c r="U51" s="5"/>
      <c r="V51" s="5">
        <f>IF(U15&lt;931,Daten!I8,IF(U15&lt;1051,Daten!I9,IF(U15&lt;1181,Daten!I10,IF(U15&lt;1301,Daten!I11,Daten!I12))))</f>
        <v>30436</v>
      </c>
      <c r="W51" s="5" t="str">
        <f>IF(V51=30436,Daten!J8,IF(V51=30438,Daten!J9,IF(V51=30440,Daten!J10,IF(V51=30442,Daten!J11,Daten!J12))))</f>
        <v xml:space="preserve">Hawa Acoustics XS rechts </v>
      </c>
    </row>
    <row r="53" spans="10:23" x14ac:dyDescent="0.25">
      <c r="J53" s="19"/>
    </row>
  </sheetData>
  <sheetProtection sheet="1" objects="1" scenarios="1"/>
  <mergeCells count="9">
    <mergeCell ref="B43:C44"/>
    <mergeCell ref="E43:F44"/>
    <mergeCell ref="B46:C47"/>
    <mergeCell ref="B3:M5"/>
    <mergeCell ref="B7:M7"/>
    <mergeCell ref="B9:F9"/>
    <mergeCell ref="B25:F25"/>
    <mergeCell ref="B33:F33"/>
    <mergeCell ref="B37:C37"/>
  </mergeCells>
  <conditionalFormatting sqref="D15">
    <cfRule type="expression" dxfId="0" priority="1">
      <formula>$D$15&gt;2550</formula>
    </cfRule>
  </conditionalFormatting>
  <dataValidations count="9">
    <dataValidation type="whole" allowBlank="1" showInputMessage="1" showErrorMessage="1" errorTitle="Falsches Mass" error="Muss zwischen 30 und 60 mm sein" sqref="D27" xr:uid="{755F22B1-37BC-4671-82C3-C80039DFAECF}">
      <formula1>30</formula1>
      <formula2>60</formula2>
    </dataValidation>
    <dataValidation type="whole" allowBlank="1" showInputMessage="1" showErrorMessage="1" errorTitle="Falsches Mass" error="Muss zwischen 750 und 1250 mm sein" sqref="D30" xr:uid="{74003E83-2D35-44A1-9DEF-8C12A2E06638}">
      <formula1>6</formula1>
      <formula2>25</formula2>
    </dataValidation>
    <dataValidation allowBlank="1" showInputMessage="1" showErrorMessage="1" errorTitle="Flasches Mass" error="Muss zwischen 44 und 50 mm sein" sqref="D19:D20" xr:uid="{4D3D5BE2-C4FC-40C9-AC3D-580FE4FC11D6}"/>
    <dataValidation type="whole" allowBlank="1" showInputMessage="1" showErrorMessage="1" errorTitle="Flasches Mass" error="Muss zwischen 1500 und 2550 mm sein" sqref="D15 D13" xr:uid="{82C4A6BF-2601-4B57-A3FA-D881A3D0FA8B}">
      <formula1>1500</formula1>
      <formula2>2550</formula2>
    </dataValidation>
    <dataValidation type="whole" allowBlank="1" showInputMessage="1" showErrorMessage="1" errorTitle="Falsches Mass" error="Muss zwischen 750 und 1250 mm sein" sqref="D11" xr:uid="{E2B01005-BA5F-421B-B3E6-1A972204D335}">
      <formula1>750</formula1>
      <formula2>1250</formula2>
    </dataValidation>
    <dataValidation type="whole" operator="greaterThan" allowBlank="1" showInputMessage="1" showErrorMessage="1" errorTitle="Flasches Mass" error="Muss min. 120 mm sein" sqref="D21:D22" xr:uid="{9CD2734B-8AB0-4187-8022-E6A33B790A65}">
      <formula1>119</formula1>
    </dataValidation>
    <dataValidation type="whole" allowBlank="1" showInputMessage="1" showErrorMessage="1" errorTitle="Falsches Mass" error="Muss zwischen 6 und 25 mm sein" sqref="D29" xr:uid="{1E471744-CE49-4451-9A0F-B2508E0627E4}">
      <formula1>6</formula1>
      <formula2>25</formula2>
    </dataValidation>
    <dataValidation type="whole" allowBlank="1" showInputMessage="1" showErrorMessage="1" errorTitle="Falsches Mass" error="Muss zwischen 0 und 20 mm sein" sqref="D31:D32" xr:uid="{5D2C7A99-8112-4493-AA54-6C7E13F4B530}">
      <formula1>0</formula1>
      <formula2>20</formula2>
    </dataValidation>
    <dataValidation type="whole" allowBlank="1" showInputMessage="1" showErrorMessage="1" errorTitle="Flasches Mass" error="Muss zwischen 39 und 45 mm sein" sqref="D17" xr:uid="{4C1A16CF-9B27-4B15-808D-F4039898999C}">
      <formula1>39</formula1>
      <formula2>45</formula2>
    </dataValidation>
  </dataValidations>
  <hyperlinks>
    <hyperlink ref="B46:C47" location="Startseite!A1" display="Home" xr:uid="{0E5B3A08-924B-46E6-9B8C-455232713E13}"/>
    <hyperlink ref="B43:C44" location="'Art P U '!A1" display="Zurück" xr:uid="{1D453042-5266-4575-A13F-1C095D73EE35}"/>
    <hyperlink ref="E43:F44" location="'32'!A1" display="Zum Plan " xr:uid="{7A7841DA-6346-4616-920F-CA12F3CBB547}"/>
  </hyperlink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8323A8B7-9800-4905-B074-2EC5CA3303A1}">
          <x14:formula1>
            <xm:f>Daten!$B$2:$B$3</xm:f>
          </x14:formula1>
          <xm:sqref>D35 D39 D37</xm:sqref>
        </x14:dataValidation>
        <x14:dataValidation type="list" allowBlank="1" showInputMessage="1" showErrorMessage="1" xr:uid="{64E7059F-DE9B-41D0-9D49-28A46A6A15F2}">
          <x14:formula1>
            <xm:f>Daten!$B$6:$B$7</xm:f>
          </x14:formula1>
          <xm:sqref>D23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F130-D051-4C07-BC9C-51CD061479DA}">
  <sheetPr>
    <pageSetUpPr fitToPage="1"/>
  </sheetPr>
  <dimension ref="C2:AD74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4" style="1" customWidth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P U R T '!U27</f>
        <v>9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P U R T '!D15</f>
        <v>1578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P U R T '!U11</f>
        <v>1531</v>
      </c>
      <c r="I10" s="18" t="s">
        <v>19</v>
      </c>
      <c r="Z10" s="32">
        <f>IF('P P U R T '!D23="Porta 60",Daten!F4,IF('P P U R T '!D23="Porta 100",Daten!F3,0))</f>
        <v>30430</v>
      </c>
      <c r="AA10" s="21">
        <v>1</v>
      </c>
      <c r="AB10" s="21" t="str">
        <f>IF(Z10=30430,Daten!G3,IF(Z10=30431,Daten!G4,0))</f>
        <v>Ganitur Porta 100</v>
      </c>
      <c r="AC10" s="21"/>
      <c r="AD10" s="21"/>
    </row>
    <row r="11" spans="6:30" x14ac:dyDescent="0.25">
      <c r="Z11" s="32">
        <f>'P P U R T '!V51</f>
        <v>30436</v>
      </c>
      <c r="AA11" s="21">
        <v>1</v>
      </c>
      <c r="AB11" s="21" t="str">
        <f>'P P U R T '!W51</f>
        <v xml:space="preserve">Hawa Acoustics XS rechts </v>
      </c>
      <c r="AC11" s="21"/>
      <c r="AD11" s="21"/>
    </row>
    <row r="12" spans="6:30" x14ac:dyDescent="0.25">
      <c r="Z12" s="32"/>
      <c r="AA12" s="21"/>
      <c r="AB12" s="21" t="s">
        <v>110</v>
      </c>
      <c r="AC12" s="21">
        <f>'P P U R T '!U47</f>
        <v>817</v>
      </c>
      <c r="AD12" s="21" t="s">
        <v>19</v>
      </c>
    </row>
    <row r="13" spans="6:30" x14ac:dyDescent="0.25">
      <c r="Z13" s="32"/>
      <c r="AA13" s="21"/>
      <c r="AB13" s="21" t="s">
        <v>109</v>
      </c>
      <c r="AC13" s="21">
        <f>'P P U R T '!U49</f>
        <v>837</v>
      </c>
      <c r="AD13" s="21" t="s">
        <v>19</v>
      </c>
    </row>
    <row r="14" spans="6:30" x14ac:dyDescent="0.25">
      <c r="Z14" s="32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32" t="str">
        <f>'P P U R T '!V34</f>
        <v>057.3112.250</v>
      </c>
      <c r="AA15" s="21">
        <v>1</v>
      </c>
      <c r="AB15" s="21" t="str">
        <f>'P P U R T '!W34</f>
        <v>Laufschiene Aluminium, eloxiert, gleocht 2500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9:30" x14ac:dyDescent="0.25">
      <c r="Z17" s="22" t="s">
        <v>91</v>
      </c>
      <c r="AA17" s="22"/>
      <c r="AB17" s="22"/>
      <c r="AC17" s="22"/>
      <c r="AD17" s="22"/>
    </row>
    <row r="18" spans="19:30" x14ac:dyDescent="0.25">
      <c r="Z18" s="32" t="str">
        <f>'P P U R T '!V41</f>
        <v>057.3113.250</v>
      </c>
      <c r="AA18" s="21">
        <f>IF('P P U R T '!D35="JA",1,0)</f>
        <v>1</v>
      </c>
      <c r="AB18" s="21" t="str">
        <f>'P P U R T '!W41</f>
        <v>Clip-Blende, Aluminium, eloxiert 2500 mm</v>
      </c>
      <c r="AC18" s="21"/>
      <c r="AD18" s="21"/>
    </row>
    <row r="19" spans="19:30" x14ac:dyDescent="0.25">
      <c r="Z19" s="32">
        <f>IF('P P U R T '!D37="JA",Daten!L30,0)</f>
        <v>30485</v>
      </c>
      <c r="AA19" s="21">
        <f>IF('P P U R T '!D37="JA",1,0)</f>
        <v>1</v>
      </c>
      <c r="AB19" s="21" t="str">
        <f>IF('P P U R T '!D37="Ja",Daten!M30,0)</f>
        <v>Blendenendstück Kunststoff, anthrazit, 95 mm</v>
      </c>
      <c r="AC19" s="21"/>
      <c r="AD19" s="21"/>
    </row>
    <row r="25" spans="19:30" x14ac:dyDescent="0.25">
      <c r="S25" s="16" t="s">
        <v>63</v>
      </c>
      <c r="T25" s="17">
        <f>T48-10</f>
        <v>20</v>
      </c>
      <c r="U25" s="18" t="s">
        <v>19</v>
      </c>
    </row>
    <row r="48" spans="3:21" x14ac:dyDescent="0.25">
      <c r="C48" s="16" t="s">
        <v>59</v>
      </c>
      <c r="D48" s="17">
        <f>'P P U R T '!U33</f>
        <v>1564</v>
      </c>
      <c r="E48" s="18" t="s">
        <v>19</v>
      </c>
      <c r="K48" s="16" t="s">
        <v>56</v>
      </c>
      <c r="L48" s="17">
        <f>'P P U R T '!D11</f>
        <v>750</v>
      </c>
      <c r="M48" s="18" t="s">
        <v>19</v>
      </c>
      <c r="S48" s="16" t="s">
        <v>57</v>
      </c>
      <c r="T48" s="17">
        <f>'P P U R T '!D27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P U R T '!U15</f>
        <v>842</v>
      </c>
      <c r="M50" s="18" t="s">
        <v>19</v>
      </c>
      <c r="S50" s="16" t="s">
        <v>58</v>
      </c>
      <c r="T50" s="17">
        <f>'P P U R T '!D29</f>
        <v>6</v>
      </c>
      <c r="U50" s="18" t="s">
        <v>19</v>
      </c>
    </row>
    <row r="51" spans="3:21" ht="6" customHeight="1" x14ac:dyDescent="0.25"/>
    <row r="52" spans="3:21" x14ac:dyDescent="0.25">
      <c r="S52" s="16" t="s">
        <v>128</v>
      </c>
      <c r="T52" s="17">
        <f>'P P U R T '!D31</f>
        <v>11</v>
      </c>
      <c r="U52" s="18" t="s">
        <v>19</v>
      </c>
    </row>
    <row r="62" spans="3:21" x14ac:dyDescent="0.25">
      <c r="C62" s="16" t="s">
        <v>61</v>
      </c>
      <c r="D62" s="17">
        <f>'P P U R T '!U37</f>
        <v>1564</v>
      </c>
      <c r="E62" s="18" t="s">
        <v>19</v>
      </c>
      <c r="K62" s="16" t="s">
        <v>114</v>
      </c>
      <c r="L62" s="17">
        <f>'P P U R T '!D21</f>
        <v>120</v>
      </c>
      <c r="M62" s="18" t="s">
        <v>19</v>
      </c>
    </row>
    <row r="63" spans="3:21" ht="6" customHeight="1" x14ac:dyDescent="0.25"/>
    <row r="64" spans="3:21" ht="6" customHeight="1" x14ac:dyDescent="0.25"/>
    <row r="65" spans="3:21" x14ac:dyDescent="0.25">
      <c r="C65" s="16" t="s">
        <v>69</v>
      </c>
      <c r="D65" s="17">
        <f>H6+53</f>
        <v>62</v>
      </c>
      <c r="E65" s="18" t="s">
        <v>19</v>
      </c>
    </row>
    <row r="68" spans="3:21" x14ac:dyDescent="0.25">
      <c r="U68" s="1" t="s">
        <v>198</v>
      </c>
    </row>
    <row r="70" spans="3:21" x14ac:dyDescent="0.25">
      <c r="C70" s="70" t="s">
        <v>16</v>
      </c>
      <c r="D70" s="71"/>
    </row>
    <row r="71" spans="3:21" x14ac:dyDescent="0.25">
      <c r="C71" s="72"/>
      <c r="D71" s="73"/>
    </row>
    <row r="73" spans="3:21" x14ac:dyDescent="0.25">
      <c r="C73" s="70" t="s">
        <v>8</v>
      </c>
      <c r="D73" s="71"/>
    </row>
    <row r="74" spans="3:21" x14ac:dyDescent="0.25">
      <c r="C74" s="72"/>
      <c r="D74" s="73"/>
    </row>
  </sheetData>
  <sheetProtection sheet="1" objects="1" scenarios="1"/>
  <mergeCells count="2">
    <mergeCell ref="C70:D71"/>
    <mergeCell ref="C73:D74"/>
  </mergeCells>
  <hyperlinks>
    <hyperlink ref="C73:D74" location="Startseite!A1" display="Home" xr:uid="{91837E00-4964-4F73-B7AA-B4E0EA32203F}"/>
    <hyperlink ref="C70:D71" location="'P P U R T '!A1" display="Zurück" xr:uid="{9C1008B6-1555-4329-B02A-AB1532C66E27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D482-61C3-4186-BE95-21454E8BF03E}">
  <dimension ref="B3:X48"/>
  <sheetViews>
    <sheetView zoomScale="85" zoomScaleNormal="85" workbookViewId="0">
      <selection activeCell="E38" sqref="E38:F39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D13-40-6-10</f>
        <v>1444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D11+(2*D23)+10</f>
        <v>820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1.18408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29.602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112</v>
      </c>
      <c r="D19" s="34">
        <v>120</v>
      </c>
      <c r="E19" s="1" t="s">
        <v>19</v>
      </c>
      <c r="F19" s="1" t="s">
        <v>113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30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 t="s">
        <v>47</v>
      </c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40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C23" s="1" t="s">
        <v>31</v>
      </c>
      <c r="D23" s="34">
        <v>30</v>
      </c>
      <c r="E23" s="1" t="s">
        <v>19</v>
      </c>
      <c r="F23" s="1" t="s">
        <v>34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D25+5</f>
        <v>11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(2*U13)-D19</f>
        <v>1520</v>
      </c>
      <c r="V25" s="5" t="s">
        <v>19</v>
      </c>
      <c r="W25" s="5" t="s">
        <v>48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191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U25</f>
        <v>1520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>
        <f>IF(U28&lt;2001,Daten!L2,IF(U28&lt;2501,Daten!L3,IF(U28&lt;3001,Daten!L4,0)))</f>
        <v>27673</v>
      </c>
      <c r="W29" s="5" t="str">
        <f>IF(V29=27673,Daten!M2,IF(V29=30323,Daten!M3,IF(V29=27672,Daten!M4,"siehe Katlaog")))</f>
        <v>Laufschiene, eloxiert, gelocht 2000 mm</v>
      </c>
    </row>
    <row r="30" spans="2:23" x14ac:dyDescent="0.25">
      <c r="B30" s="1" t="s">
        <v>36</v>
      </c>
      <c r="D30" s="34" t="s">
        <v>40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6" t="s">
        <v>101</v>
      </c>
      <c r="V30" s="5"/>
      <c r="W30" s="5"/>
    </row>
    <row r="31" spans="2:23" ht="6" customHeight="1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x14ac:dyDescent="0.25">
      <c r="B32" s="1" t="s">
        <v>37</v>
      </c>
      <c r="D32" s="34" t="s">
        <v>40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>
        <f>U28</f>
        <v>1520</v>
      </c>
      <c r="V32" s="5" t="s">
        <v>19</v>
      </c>
      <c r="W32" s="5" t="s">
        <v>100</v>
      </c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38</v>
      </c>
      <c r="D34" s="34" t="s">
        <v>40</v>
      </c>
      <c r="F34" s="1" t="s">
        <v>39</v>
      </c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>
        <f>U23+54-1</f>
        <v>64</v>
      </c>
      <c r="V34" s="5" t="s">
        <v>19</v>
      </c>
      <c r="W34" s="5" t="s">
        <v>165</v>
      </c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>
        <f>IF(U32&lt;2001,Daten!L8,IF(U32&lt;2501,Daten!L9,Daten!L10))</f>
        <v>27689</v>
      </c>
      <c r="W36" s="5" t="str">
        <f>IF(V36=27689,Daten!M8,IF(V36=30328,Daten!M9,Daten!M10))</f>
        <v>Clip-Blende 2000 mm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0" t="s">
        <v>16</v>
      </c>
      <c r="C38" s="71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B39" s="72"/>
      <c r="C39" s="73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6" t="s">
        <v>53</v>
      </c>
      <c r="V40" s="5"/>
      <c r="W40" s="5"/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B42" s="72"/>
      <c r="C42" s="73"/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>
        <f>U13-25</f>
        <v>795</v>
      </c>
      <c r="V42" s="5" t="s">
        <v>19</v>
      </c>
      <c r="W42" s="5" t="s">
        <v>110</v>
      </c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/>
      <c r="V43" s="5"/>
      <c r="W43" s="5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>
        <f>U13-5</f>
        <v>815</v>
      </c>
      <c r="V44" s="5" t="s">
        <v>19</v>
      </c>
      <c r="W44" s="5" t="s">
        <v>54</v>
      </c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  <c r="T45" s="5"/>
      <c r="U45" s="5"/>
      <c r="V45" s="5"/>
      <c r="W45" s="5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  <c r="T46" s="5"/>
      <c r="U46" s="5"/>
      <c r="V46" s="5">
        <f>IF(U13&lt;931,Daten!F8,IF(U13&lt;1051,Daten!F9,IF(U13&lt;1181,Daten!F10,IF(U13&lt;1301,Daten!F11,Daten!F12))))</f>
        <v>30437</v>
      </c>
      <c r="W46" s="5" t="str">
        <f>IF(V46=30437,Daten!G8,IF(V46=30439,Daten!G9,IF(V46=30441,Daten!G10,IF(V46=30443,Daten!G11,Daten!G12))))</f>
        <v>Hawa Acoustics XS links</v>
      </c>
    </row>
    <row r="48" spans="2:23" x14ac:dyDescent="0.25">
      <c r="J48" s="19"/>
    </row>
  </sheetData>
  <sheetProtection sheet="1" objects="1" scenarios="1"/>
  <mergeCells count="8">
    <mergeCell ref="B41:C42"/>
    <mergeCell ref="B3:M5"/>
    <mergeCell ref="B7:M7"/>
    <mergeCell ref="B9:F9"/>
    <mergeCell ref="B21:F21"/>
    <mergeCell ref="B28:F28"/>
    <mergeCell ref="B38:C39"/>
    <mergeCell ref="E38:F39"/>
  </mergeCells>
  <conditionalFormatting sqref="H17">
    <cfRule type="expression" dxfId="30" priority="1">
      <formula>$H$17&gt;100</formula>
    </cfRule>
  </conditionalFormatting>
  <dataValidations count="8">
    <dataValidation type="whole" allowBlank="1" showInputMessage="1" showErrorMessage="1" errorTitle="Falsches Mass" error="Muss zwischen 30 und 60 mm sein" sqref="D23" xr:uid="{3720CD92-05E9-4F62-B1CB-E3EE9765C742}">
      <formula1>30</formula1>
      <formula2>60</formula2>
    </dataValidation>
    <dataValidation type="whole" allowBlank="1" showInputMessage="1" showErrorMessage="1" errorTitle="Falsches Mass" error="Muss zwischen 750 und 1250 mm sein" sqref="D26" xr:uid="{4F81C41E-A1FD-476A-B0AA-56E548BF795F}">
      <formula1>6</formula1>
      <formula2>25</formula2>
    </dataValidation>
    <dataValidation allowBlank="1" showInputMessage="1" showErrorMessage="1" errorTitle="Flasches Mass" error="Muss zwischen 44 und 50 mm sein" sqref="D17:D18" xr:uid="{C2D3423B-E9E5-42A1-859C-4EDC7E282AF8}"/>
    <dataValidation type="whole" allowBlank="1" showInputMessage="1" showErrorMessage="1" errorTitle="Flasches Mass" error="Muss zwischen 1500 und 2550 mm sein" sqref="D13" xr:uid="{09A81C3B-F9A8-4638-A16E-B85F50CEA9A9}">
      <formula1>1500</formula1>
      <formula2>2550</formula2>
    </dataValidation>
    <dataValidation type="whole" allowBlank="1" showInputMessage="1" showErrorMessage="1" errorTitle="Falsches Mass" error="Muss zwischen 750 und 1250 mm sein" sqref="D11" xr:uid="{2EB4CD54-8A1C-4656-8842-E77AE4E25B96}">
      <formula1>750</formula1>
      <formula2>1250</formula2>
    </dataValidation>
    <dataValidation type="whole" operator="greaterThan" allowBlank="1" showInputMessage="1" showErrorMessage="1" errorTitle="Flasches Mass" error="Muss min. 120 mm sein" sqref="D19" xr:uid="{96975DF1-3963-4825-9D9F-B7BE193919CD}">
      <formula1>119</formula1>
    </dataValidation>
    <dataValidation type="whole" allowBlank="1" showInputMessage="1" showErrorMessage="1" errorTitle="Falsches Mass" error="Muss zwischen 6 und 25 mm sein" sqref="D25" xr:uid="{CCE2A3FD-21D8-4217-845A-12B20DDF8802}">
      <formula1>6</formula1>
      <formula2>25</formula2>
    </dataValidation>
    <dataValidation type="whole" allowBlank="1" showInputMessage="1" showErrorMessage="1" errorTitle="Flasches Mass" error="Muss zwischen 44 und 50 mm sein_x000a_(bei kleiner 44 mm, verwenden sie Hawa Porta Acoustics)" sqref="D15" xr:uid="{4173E92D-960F-4A66-8ED5-50E46CA7C420}">
      <formula1>44</formula1>
      <formula2>50</formula2>
    </dataValidation>
  </dataValidations>
  <hyperlinks>
    <hyperlink ref="B41:C42" location="Startseite!A1" display="Home" xr:uid="{9C6D82AD-A360-41FF-8C8D-C60CD2BD60F1}"/>
    <hyperlink ref="B38:C39" location="'Art J N'!A1" display="Zurück" xr:uid="{687F0CB8-969C-4D2C-B517-84D8BE4859D0}"/>
    <hyperlink ref="E38:F39" location="'2'!A1" display="Zum Plan " xr:uid="{A9AFA6F0-2177-4873-A549-44A6458C1247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31C97AB6-3910-4099-ADFD-FF4B22CBA148}">
          <x14:formula1>
            <xm:f>Daten!$B$2:$B$3</xm:f>
          </x14:formula1>
          <xm:sqref>D30 D32 D34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6D1D-6C02-4CFE-A95B-6B124D8FC928}">
  <sheetPr>
    <tabColor theme="4" tint="0.79998168889431442"/>
  </sheetPr>
  <dimension ref="B3:L24"/>
  <sheetViews>
    <sheetView zoomScale="85" zoomScaleNormal="85" workbookViewId="0"/>
  </sheetViews>
  <sheetFormatPr baseColWidth="10" defaultRowHeight="15" x14ac:dyDescent="0.25"/>
  <cols>
    <col min="1" max="1" width="11.42578125" style="1"/>
    <col min="2" max="3" width="11.42578125" style="1" customWidth="1"/>
    <col min="4" max="4" width="3.7109375" style="1" customWidth="1"/>
    <col min="5" max="6" width="11.42578125" style="1"/>
    <col min="7" max="7" width="3.7109375" style="1" customWidth="1"/>
    <col min="8" max="9" width="11.42578125" style="1"/>
    <col min="10" max="10" width="3.7109375" style="1" customWidth="1"/>
    <col min="11" max="16384" width="11.42578125" style="1"/>
  </cols>
  <sheetData>
    <row r="3" spans="2:12" x14ac:dyDescent="0.25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4" spans="2:12" x14ac:dyDescent="0.25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10"/>
    </row>
    <row r="5" spans="2:12" x14ac:dyDescent="0.2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3"/>
    </row>
    <row r="7" spans="2:12" ht="18.75" x14ac:dyDescent="0.3">
      <c r="B7" s="114" t="s">
        <v>177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9" spans="2:12" x14ac:dyDescent="0.25">
      <c r="B9" s="99" t="s">
        <v>12</v>
      </c>
      <c r="C9" s="100"/>
      <c r="E9" s="99" t="s">
        <v>13</v>
      </c>
      <c r="F9" s="100"/>
      <c r="H9" s="99" t="s">
        <v>14</v>
      </c>
      <c r="I9" s="100"/>
      <c r="K9" s="99" t="s">
        <v>15</v>
      </c>
      <c r="L9" s="100"/>
    </row>
    <row r="10" spans="2:12" x14ac:dyDescent="0.25">
      <c r="B10" s="101"/>
      <c r="C10" s="102"/>
      <c r="E10" s="101"/>
      <c r="F10" s="102"/>
      <c r="H10" s="101"/>
      <c r="I10" s="102"/>
      <c r="K10" s="101"/>
      <c r="L10" s="102"/>
    </row>
    <row r="11" spans="2:12" x14ac:dyDescent="0.25">
      <c r="B11" s="101"/>
      <c r="C11" s="102"/>
      <c r="E11" s="101"/>
      <c r="F11" s="102"/>
      <c r="H11" s="101"/>
      <c r="I11" s="102"/>
      <c r="K11" s="101"/>
      <c r="L11" s="102"/>
    </row>
    <row r="12" spans="2:12" x14ac:dyDescent="0.25">
      <c r="B12" s="101"/>
      <c r="C12" s="102"/>
      <c r="E12" s="101"/>
      <c r="F12" s="102"/>
      <c r="H12" s="101"/>
      <c r="I12" s="102"/>
      <c r="K12" s="101"/>
      <c r="L12" s="102"/>
    </row>
    <row r="13" spans="2:12" x14ac:dyDescent="0.25">
      <c r="B13" s="101"/>
      <c r="C13" s="102"/>
      <c r="E13" s="101"/>
      <c r="F13" s="102"/>
      <c r="H13" s="101"/>
      <c r="I13" s="102"/>
      <c r="K13" s="101"/>
      <c r="L13" s="102"/>
    </row>
    <row r="14" spans="2:12" x14ac:dyDescent="0.25">
      <c r="B14" s="101"/>
      <c r="C14" s="102"/>
      <c r="E14" s="101"/>
      <c r="F14" s="102"/>
      <c r="H14" s="101"/>
      <c r="I14" s="102"/>
      <c r="K14" s="101"/>
      <c r="L14" s="102"/>
    </row>
    <row r="15" spans="2:12" x14ac:dyDescent="0.25">
      <c r="B15" s="101"/>
      <c r="C15" s="102"/>
      <c r="E15" s="101"/>
      <c r="F15" s="102"/>
      <c r="H15" s="101"/>
      <c r="I15" s="102"/>
      <c r="K15" s="101"/>
      <c r="L15" s="102"/>
    </row>
    <row r="16" spans="2:12" x14ac:dyDescent="0.25">
      <c r="B16" s="101"/>
      <c r="C16" s="102"/>
      <c r="E16" s="101"/>
      <c r="F16" s="102"/>
      <c r="H16" s="101"/>
      <c r="I16" s="102"/>
      <c r="K16" s="101"/>
      <c r="L16" s="102"/>
    </row>
    <row r="17" spans="2:12" x14ac:dyDescent="0.25">
      <c r="B17" s="101"/>
      <c r="C17" s="102"/>
      <c r="E17" s="101"/>
      <c r="F17" s="102"/>
      <c r="H17" s="101"/>
      <c r="I17" s="102"/>
      <c r="K17" s="101"/>
      <c r="L17" s="102"/>
    </row>
    <row r="18" spans="2:12" x14ac:dyDescent="0.25">
      <c r="B18" s="103"/>
      <c r="C18" s="104"/>
      <c r="E18" s="103"/>
      <c r="F18" s="104"/>
      <c r="H18" s="103"/>
      <c r="I18" s="104"/>
      <c r="K18" s="103"/>
      <c r="L18" s="104"/>
    </row>
    <row r="20" spans="2:12" x14ac:dyDescent="0.25">
      <c r="B20" s="70" t="s">
        <v>16</v>
      </c>
      <c r="C20" s="71"/>
    </row>
    <row r="21" spans="2:12" x14ac:dyDescent="0.25">
      <c r="B21" s="72"/>
      <c r="C21" s="73"/>
    </row>
    <row r="23" spans="2:12" x14ac:dyDescent="0.25">
      <c r="B23" s="70" t="s">
        <v>8</v>
      </c>
      <c r="C23" s="71"/>
    </row>
    <row r="24" spans="2:12" x14ac:dyDescent="0.25">
      <c r="B24" s="72"/>
      <c r="C24" s="73"/>
    </row>
  </sheetData>
  <sheetProtection sheet="1" objects="1" scenarios="1"/>
  <mergeCells count="8">
    <mergeCell ref="B20:C21"/>
    <mergeCell ref="B23:C24"/>
    <mergeCell ref="B3:L5"/>
    <mergeCell ref="B7:L7"/>
    <mergeCell ref="B9:C18"/>
    <mergeCell ref="E9:F18"/>
    <mergeCell ref="H9:I18"/>
    <mergeCell ref="K9:L18"/>
  </mergeCells>
  <hyperlinks>
    <hyperlink ref="B23:C24" location="Startseite!A1" display="Home" xr:uid="{763A572A-678A-4FEB-9CA2-A3458384A51F}"/>
    <hyperlink ref="B20:C21" location="'P P'!A1" display="Zurück" xr:uid="{834DB7CA-97B6-4BD1-BDCF-624DECAB1E59}"/>
    <hyperlink ref="B9:C18" location="'P P P L G '!A1" display="'P P P L G '!A1" xr:uid="{BBDE7C59-D1B6-492F-A58F-327FEB9B04C5}"/>
    <hyperlink ref="E9:F18" location="'P P P L T '!A1" display="'P P P L T '!A1" xr:uid="{740969F1-6CD8-4143-9877-3699A56D8FF6}"/>
    <hyperlink ref="H9:I18" location="'P P P R G '!A1" display="'P P P R G '!A1" xr:uid="{41883032-E69F-4ADF-A143-75E5CAA94EE9}"/>
    <hyperlink ref="K9:L18" location="'P P P R T'!A1" display="'P P P R T'!A1" xr:uid="{F3829813-25BC-4D73-A434-24096421A71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ACBB-D1A2-4B31-97EB-19B37FFBA0BC}">
  <dimension ref="B3:X48"/>
  <sheetViews>
    <sheetView zoomScale="85" zoomScaleNormal="85" workbookViewId="0">
      <selection activeCell="D19" sqref="D19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ht="21" customHeight="1" x14ac:dyDescent="0.25">
      <c r="B3" s="117" t="s">
        <v>173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O7" s="27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D13-39-6-10</f>
        <v>1445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1.1559999999999999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28.9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26" t="s">
        <v>164</v>
      </c>
      <c r="D19" s="42" t="s">
        <v>154</v>
      </c>
      <c r="F19" s="26" t="str">
        <f>IF(D19="Porta 100","maximal 100 Kg Türgewicht",IF(D19="Porta 60","maximal 60 Kg Türgewicht",0))</f>
        <v>maximal 100 Kg Türgewicht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30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 t="s">
        <v>47</v>
      </c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39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D23" s="24">
        <v>30</v>
      </c>
      <c r="E23" s="1" t="s">
        <v>19</v>
      </c>
      <c r="F23" s="1" t="s">
        <v>132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D25+20</f>
        <v>26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D11+50</f>
        <v>800</v>
      </c>
      <c r="V25" s="5" t="s">
        <v>19</v>
      </c>
      <c r="W25" s="5" t="s">
        <v>135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35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(2*U13)-32</f>
        <v>1568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 t="str">
        <f>IF(U28&lt;2001,Daten!L32,IF(U28&lt;2501,Daten!L33,"0"))</f>
        <v>057.3179.200</v>
      </c>
      <c r="W29" s="5" t="str">
        <f>IF(U28&lt;2001,Daten!M32,IF(U28&lt;2501,Daten!M33,"siehe Katalog"))</f>
        <v>Montage-Set Hawa Porta 60/100, 2000 mm</v>
      </c>
    </row>
    <row r="30" spans="2:23" x14ac:dyDescent="0.25">
      <c r="B30" s="1" t="s">
        <v>133</v>
      </c>
      <c r="D30" s="34" t="s">
        <v>41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ht="15" customHeight="1" x14ac:dyDescent="0.25">
      <c r="B31" s="26" t="s">
        <v>197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x14ac:dyDescent="0.25">
      <c r="B32" s="1" t="s">
        <v>186</v>
      </c>
      <c r="D32" s="34" t="s">
        <v>40</v>
      </c>
      <c r="F32" s="1" t="s">
        <v>187</v>
      </c>
      <c r="G32" s="29"/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6" t="s">
        <v>53</v>
      </c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U13-25</f>
        <v>775</v>
      </c>
      <c r="V36" s="5" t="s">
        <v>19</v>
      </c>
      <c r="W36" s="5" t="s">
        <v>110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0" t="s">
        <v>16</v>
      </c>
      <c r="C38" s="71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U13+20</f>
        <v>820</v>
      </c>
      <c r="V38" s="5" t="s">
        <v>19</v>
      </c>
      <c r="W38" s="5" t="s">
        <v>54</v>
      </c>
    </row>
    <row r="39" spans="2:23" x14ac:dyDescent="0.25">
      <c r="B39" s="72"/>
      <c r="C39" s="73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>
        <f>IF(U13&lt;901,Daten!F8,IF(U13&lt;1021,Daten!F9,IF(U13&lt;1151,Daten!F10,IF(U13&lt;1271,Daten!F11,Daten!F12))))</f>
        <v>30437</v>
      </c>
      <c r="W40" s="5" t="str">
        <f>IF(V40=30437,Daten!G8,IF(V40=30439,Daten!G9,IF(V40=30441,Daten!G10,IF(V40=30443,Daten!G11,Daten!G12))))</f>
        <v>Hawa Acoustics XS links</v>
      </c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</row>
    <row r="42" spans="2:23" x14ac:dyDescent="0.25">
      <c r="B42" s="72"/>
      <c r="C42" s="73"/>
      <c r="J42" s="10"/>
      <c r="K42" s="11"/>
      <c r="L42" s="11"/>
      <c r="M42" s="11"/>
      <c r="N42" s="11"/>
      <c r="O42" s="11"/>
      <c r="P42" s="11"/>
      <c r="Q42" s="11"/>
      <c r="R42" s="12"/>
      <c r="S42" s="11"/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</row>
    <row r="48" spans="2:23" x14ac:dyDescent="0.25">
      <c r="J48" s="19"/>
    </row>
  </sheetData>
  <sheetProtection sheet="1" objects="1" scenarios="1"/>
  <mergeCells count="8">
    <mergeCell ref="B41:C42"/>
    <mergeCell ref="B3:M5"/>
    <mergeCell ref="B7:M7"/>
    <mergeCell ref="B9:F9"/>
    <mergeCell ref="B21:F21"/>
    <mergeCell ref="B28:F28"/>
    <mergeCell ref="B38:C39"/>
    <mergeCell ref="E38:F39"/>
  </mergeCells>
  <dataValidations count="6">
    <dataValidation type="whole" allowBlank="1" showInputMessage="1" showErrorMessage="1" errorTitle="Falsches Mass" error="Muss zwischen 750 und 1250 mm sein" sqref="D11" xr:uid="{28C57369-B97C-4A38-ABFA-B7CA0E3EEC03}">
      <formula1>750</formula1>
      <formula2>1250</formula2>
    </dataValidation>
    <dataValidation type="whole" allowBlank="1" showInputMessage="1" showErrorMessage="1" errorTitle="Flasches Mass" error="Muss zwischen 1500 und 2550 mm sein" sqref="D13" xr:uid="{9C435F99-2D7E-45F0-8501-2291CE9CB3A7}">
      <formula1>1500</formula1>
      <formula2>2550</formula2>
    </dataValidation>
    <dataValidation allowBlank="1" showInputMessage="1" showErrorMessage="1" errorTitle="Flasches Mass" error="Muss zwischen 44 und 50 mm sein" sqref="D17" xr:uid="{E703DB3E-69D4-4F8D-99F5-DF9C65FC2A7A}"/>
    <dataValidation type="whole" allowBlank="1" showInputMessage="1" showErrorMessage="1" errorTitle="Falsches Mass" error="Muss zwischen 750 und 1250 mm sein" sqref="D26" xr:uid="{8E413F28-3190-4672-82D9-DB60040B81E0}">
      <formula1>6</formula1>
      <formula2>25</formula2>
    </dataValidation>
    <dataValidation type="whole" allowBlank="1" showInputMessage="1" showErrorMessage="1" errorTitle="Falsches Mass" error="Muss zwischen 6 und 25 mm sein" sqref="D25" xr:uid="{ED16FEF7-7B90-4001-BE5E-8D0E375C8B55}">
      <formula1>6</formula1>
      <formula2>25</formula2>
    </dataValidation>
    <dataValidation type="whole" allowBlank="1" showInputMessage="1" showErrorMessage="1" errorTitle="Flasches Mass" error="Muss zwischen 39 und 45 mm sein" sqref="D15" xr:uid="{CC355465-CF77-478E-A95D-A8174F9B74A6}">
      <formula1>39</formula1>
      <formula2>45</formula2>
    </dataValidation>
  </dataValidations>
  <hyperlinks>
    <hyperlink ref="B41:C42" location="Startseite!A1" display="Home" xr:uid="{6C9F8DDF-1A74-434F-907C-E1F738548BC7}"/>
    <hyperlink ref="B38:C39" location="'Art P P'!A1" display="Zurück" xr:uid="{6914483B-5DF8-4560-95A6-6062A41FF8A1}"/>
    <hyperlink ref="E38:F39" location="'17'!A1" display="Zum Plan " xr:uid="{06EF0BB1-F219-4319-80A5-7BE0991977A4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28C3B5D9-B526-4318-A577-34E92B93F9E4}">
          <x14:formula1>
            <xm:f>Daten!$B$2:$B$3</xm:f>
          </x14:formula1>
          <xm:sqref>D30 D32</xm:sqref>
        </x14:dataValidation>
        <x14:dataValidation type="list" allowBlank="1" showInputMessage="1" showErrorMessage="1" xr:uid="{0AE3A303-C7E9-4A5E-BF58-B6BB6997FAF2}">
          <x14:formula1>
            <xm:f>Daten!$B$6:$B$7</xm:f>
          </x14:formula1>
          <xm:sqref>D19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340F-B81A-4E69-98B9-C299D7805B6D}">
  <sheetPr>
    <pageSetUpPr fitToPage="1"/>
  </sheetPr>
  <dimension ref="C2:AJ77"/>
  <sheetViews>
    <sheetView zoomScale="70" zoomScaleNormal="70" workbookViewId="0">
      <selection activeCell="AO16" sqref="AO16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4.42578125" style="1" bestFit="1" customWidth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P P L G '!U23</f>
        <v>26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P P L G 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P P L G '!U11</f>
        <v>1445</v>
      </c>
      <c r="I10" s="18" t="s">
        <v>19</v>
      </c>
      <c r="AF10" s="32">
        <f>IF('P P P L G '!$D$19="Porta 60",Daten!F4,IF('P P P L G '!$D$19="Porta 100",Daten!F3,0))</f>
        <v>30430</v>
      </c>
      <c r="AG10" s="21">
        <v>1</v>
      </c>
      <c r="AH10" s="21" t="str">
        <f>IF(AF10=30430,Daten!G3,IF(AF10=30431,Daten!G4,0))</f>
        <v>Ganitur Porta 100</v>
      </c>
      <c r="AI10" s="21"/>
      <c r="AJ10" s="21"/>
    </row>
    <row r="11" spans="6:36" x14ac:dyDescent="0.25">
      <c r="AF11" s="32">
        <f>'P P P L G '!V40</f>
        <v>30437</v>
      </c>
      <c r="AG11" s="21">
        <v>1</v>
      </c>
      <c r="AH11" s="21" t="str">
        <f>'P P P L G '!W40</f>
        <v>Hawa Acoustics XS links</v>
      </c>
      <c r="AI11" s="21"/>
      <c r="AJ11" s="21"/>
    </row>
    <row r="12" spans="6:36" x14ac:dyDescent="0.25">
      <c r="AF12" s="32"/>
      <c r="AG12" s="21"/>
      <c r="AH12" s="21" t="s">
        <v>110</v>
      </c>
      <c r="AI12" s="21">
        <f>'P P P L G '!U36</f>
        <v>775</v>
      </c>
      <c r="AJ12" s="21" t="s">
        <v>19</v>
      </c>
    </row>
    <row r="13" spans="6:36" x14ac:dyDescent="0.25">
      <c r="AF13" s="32"/>
      <c r="AG13" s="21"/>
      <c r="AH13" s="21" t="s">
        <v>109</v>
      </c>
      <c r="AI13" s="21">
        <f>'P P P L G '!U38</f>
        <v>820</v>
      </c>
      <c r="AJ13" s="21" t="s">
        <v>19</v>
      </c>
    </row>
    <row r="14" spans="6:36" x14ac:dyDescent="0.25">
      <c r="AF14" s="32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32" t="str">
        <f>'P P P L G '!V29</f>
        <v>057.3179.200</v>
      </c>
      <c r="AG15" s="21">
        <v>1</v>
      </c>
      <c r="AH15" s="21" t="str">
        <f>'P P P L G '!W29</f>
        <v>Montage-Set Hawa Porta 60/100, 2000 mm</v>
      </c>
      <c r="AI15" s="21"/>
      <c r="AJ15" s="21"/>
    </row>
    <row r="16" spans="6:36" x14ac:dyDescent="0.25">
      <c r="AF16" s="21"/>
      <c r="AG16" s="21"/>
      <c r="AH16" s="21"/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32">
        <f>IF('P P P L G '!D30="Ja",Daten!L35,0)</f>
        <v>0</v>
      </c>
      <c r="AG18" s="21">
        <f>IF('P P P L G '!D30="Ja",1,0)</f>
        <v>0</v>
      </c>
      <c r="AH18" s="21">
        <f>IF('P P P L G '!D30="Ja",Daten!M35,0)</f>
        <v>0</v>
      </c>
      <c r="AI18" s="21"/>
      <c r="AJ18" s="21"/>
    </row>
    <row r="19" spans="32:36" x14ac:dyDescent="0.25">
      <c r="AF19" s="32" t="str">
        <f>IF('P P P L G '!D32="Ja",Daten!L36,0)</f>
        <v>057.3178.071</v>
      </c>
      <c r="AG19" s="21">
        <f>IF('P P P L G '!D32="Ja",1,0)</f>
        <v>1</v>
      </c>
      <c r="AH19" s="21" t="str">
        <f>IF('P P P L G '!D32="Ja",Daten!M36,0)</f>
        <v>Push-to-open Hawa Porta 100, 40–100 kg, 1 Stück</v>
      </c>
      <c r="AI19" s="21"/>
      <c r="AJ19" s="21"/>
    </row>
    <row r="20" spans="32:36" x14ac:dyDescent="0.25">
      <c r="AF20" s="21"/>
      <c r="AG20" s="21"/>
      <c r="AH20" s="21"/>
      <c r="AI20" s="21"/>
      <c r="AJ20" s="21"/>
    </row>
    <row r="48" spans="3:5" x14ac:dyDescent="0.25">
      <c r="C48" s="16" t="s">
        <v>59</v>
      </c>
      <c r="D48" s="17">
        <f>'P P P L G '!U28</f>
        <v>1568</v>
      </c>
      <c r="E48" s="18" t="s">
        <v>19</v>
      </c>
    </row>
    <row r="49" spans="3:21" ht="6" customHeight="1" x14ac:dyDescent="0.25"/>
    <row r="51" spans="3:21" ht="6" customHeight="1" x14ac:dyDescent="0.25"/>
    <row r="52" spans="3:21" x14ac:dyDescent="0.25">
      <c r="C52" s="16" t="s">
        <v>56</v>
      </c>
      <c r="D52" s="17">
        <f>'P P P L G '!D11</f>
        <v>750</v>
      </c>
      <c r="E52" s="18" t="s">
        <v>19</v>
      </c>
      <c r="S52" s="16" t="s">
        <v>58</v>
      </c>
      <c r="T52" s="17">
        <f>'P P P L G '!D25</f>
        <v>6</v>
      </c>
      <c r="U52" s="18" t="s">
        <v>19</v>
      </c>
    </row>
    <row r="53" spans="3:21" ht="6" customHeight="1" x14ac:dyDescent="0.25"/>
    <row r="54" spans="3:21" x14ac:dyDescent="0.25">
      <c r="C54" s="16" t="s">
        <v>68</v>
      </c>
      <c r="D54" s="17">
        <f>'P P P L G '!U13</f>
        <v>800</v>
      </c>
      <c r="E54" s="18" t="s">
        <v>19</v>
      </c>
    </row>
    <row r="55" spans="3:21" ht="6" customHeight="1" x14ac:dyDescent="0.25"/>
    <row r="56" spans="3:21" x14ac:dyDescent="0.25">
      <c r="C56" s="16" t="s">
        <v>134</v>
      </c>
      <c r="D56" s="17">
        <f>D54+72</f>
        <v>872</v>
      </c>
      <c r="E56" s="18" t="s">
        <v>19</v>
      </c>
    </row>
    <row r="63" spans="3:21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F5B1DDDE-193F-46EC-84C9-3E6666378D22}"/>
    <hyperlink ref="C73:D74" location="'P P P L G '!A1" display="Zurück" xr:uid="{3B166B51-60C3-46FF-9EE8-5C1B45869C97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C6A0-C7DD-417F-BE2C-298C73FCFF67}">
  <dimension ref="B3:X50"/>
  <sheetViews>
    <sheetView zoomScale="85" zoomScaleNormal="85" workbookViewId="0">
      <selection activeCell="D20" sqref="D20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ht="21" customHeight="1" x14ac:dyDescent="0.25">
      <c r="B3" s="117" t="s">
        <v>188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O7" s="27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D13-39-6-10</f>
        <v>1445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1.1559999999999999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28.9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112</v>
      </c>
      <c r="D19" s="34">
        <v>120</v>
      </c>
      <c r="E19" s="1" t="s">
        <v>19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28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39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D25" s="24">
        <v>30</v>
      </c>
      <c r="E25" s="1" t="s">
        <v>19</v>
      </c>
      <c r="F25" s="1" t="s">
        <v>132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D27+20</f>
        <v>26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D11+50</f>
        <v>800</v>
      </c>
      <c r="V27" s="5" t="s">
        <v>19</v>
      </c>
      <c r="W27" s="5" t="s">
        <v>135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35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(2*U13)-D19-32</f>
        <v>1448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 t="str">
        <f>IF(U30&lt;2001,Daten!L32,IF(U30&lt;2501,Daten!L33,"0"))</f>
        <v>057.3179.200</v>
      </c>
      <c r="W31" s="5" t="str">
        <f>IF(U30&lt;2001,Daten!M32,IF(U30&lt;2501,Daten!M33,"siehe Katalog"))</f>
        <v>Montage-Set Hawa Porta 60/100, 2000 mm</v>
      </c>
    </row>
    <row r="32" spans="2:23" x14ac:dyDescent="0.25">
      <c r="B32" s="1" t="s">
        <v>133</v>
      </c>
      <c r="D32" s="34" t="s">
        <v>41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ht="15" customHeight="1" x14ac:dyDescent="0.25">
      <c r="B33" s="26" t="s">
        <v>197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186</v>
      </c>
      <c r="D34" s="34" t="s">
        <v>40</v>
      </c>
      <c r="F34" s="1" t="s">
        <v>187</v>
      </c>
      <c r="G34" s="29"/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6" t="s">
        <v>53</v>
      </c>
      <c r="V36" s="5"/>
      <c r="W36" s="5"/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U13-25</f>
        <v>775</v>
      </c>
      <c r="V38" s="5" t="s">
        <v>19</v>
      </c>
      <c r="W38" s="5" t="s">
        <v>110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153" t="s">
        <v>111</v>
      </c>
      <c r="F40" s="154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>
        <f>U13+20</f>
        <v>820</v>
      </c>
      <c r="V40" s="5" t="s">
        <v>19</v>
      </c>
      <c r="W40" s="5" t="s">
        <v>54</v>
      </c>
    </row>
    <row r="41" spans="2:23" x14ac:dyDescent="0.25">
      <c r="B41" s="72"/>
      <c r="C41" s="73"/>
      <c r="E41" s="155"/>
      <c r="F41" s="156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>
        <f>IF(U13&lt;901,Daten!F8,IF(U13&lt;1021,Daten!F9,IF(U13&lt;1151,Daten!F10,IF(U13&lt;1271,Daten!F11,Daten!F12))))</f>
        <v>30437</v>
      </c>
      <c r="W42" s="5" t="str">
        <f>IF(V42=30437,Daten!G8,IF(V42=30439,Daten!G9,IF(V42=30441,Daten!G10,IF(V42=30443,Daten!G11,Daten!G12))))</f>
        <v>Hawa Acoustics XS links</v>
      </c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</row>
    <row r="50" spans="10:10" x14ac:dyDescent="0.25">
      <c r="J50" s="19"/>
    </row>
  </sheetData>
  <sheetProtection sheet="1" objects="1" scenarios="1"/>
  <mergeCells count="8">
    <mergeCell ref="B43:C44"/>
    <mergeCell ref="B3:M5"/>
    <mergeCell ref="B7:M7"/>
    <mergeCell ref="B9:F9"/>
    <mergeCell ref="B23:F23"/>
    <mergeCell ref="B30:F30"/>
    <mergeCell ref="B40:C41"/>
    <mergeCell ref="E40:F41"/>
  </mergeCells>
  <dataValidations count="7">
    <dataValidation type="whole" allowBlank="1" showInputMessage="1" showErrorMessage="1" errorTitle="Falsches Mass" error="Muss zwischen 6 und 25 mm sein" sqref="D27" xr:uid="{6918AFD0-C62D-46AF-8A42-0E3DFF2C2761}">
      <formula1>6</formula1>
      <formula2>25</formula2>
    </dataValidation>
    <dataValidation type="whole" allowBlank="1" showInputMessage="1" showErrorMessage="1" errorTitle="Falsches Mass" error="Muss zwischen 750 und 1250 mm sein" sqref="D28" xr:uid="{68D5C34C-A97E-457A-9B38-A0CFA66AB08E}">
      <formula1>6</formula1>
      <formula2>25</formula2>
    </dataValidation>
    <dataValidation allowBlank="1" showInputMessage="1" showErrorMessage="1" errorTitle="Flasches Mass" error="Muss zwischen 44 und 50 mm sein" sqref="D17:D18" xr:uid="{075D0DC1-4719-4718-83D8-AC5EF70DD3BE}"/>
    <dataValidation type="whole" allowBlank="1" showInputMessage="1" showErrorMessage="1" errorTitle="Flasches Mass" error="Muss zwischen 1500 und 2550 mm sein" sqref="D13" xr:uid="{45110D04-19DD-4274-BA0E-66976AE71449}">
      <formula1>1500</formula1>
      <formula2>2550</formula2>
    </dataValidation>
    <dataValidation type="whole" allowBlank="1" showInputMessage="1" showErrorMessage="1" errorTitle="Falsches Mass" error="Muss zwischen 750 und 1250 mm sein" sqref="D11" xr:uid="{0DC82A14-310A-4FA3-8887-00A7FD711F8B}">
      <formula1>750</formula1>
      <formula2>1250</formula2>
    </dataValidation>
    <dataValidation operator="greaterThan" allowBlank="1" showInputMessage="1" showErrorMessage="1" errorTitle="Flasches Mass" error="Muss min. 120 mm sein" sqref="D19" xr:uid="{3761133F-762D-4AC6-B51D-77D7FE536C2B}"/>
    <dataValidation type="whole" allowBlank="1" showInputMessage="1" showErrorMessage="1" errorTitle="Flasches Mass" error="Muss zwischen 39 und 45 mm sein" sqref="D15" xr:uid="{CF8E934E-74B1-483B-992F-6F2076850ECB}">
      <formula1>39</formula1>
      <formula2>45</formula2>
    </dataValidation>
  </dataValidations>
  <hyperlinks>
    <hyperlink ref="B43:C44" location="Startseite!A1" display="Home" xr:uid="{9BCA52ED-FB03-49DA-9610-A7931031410B}"/>
    <hyperlink ref="B40:C41" location="'Art P P'!A1" display="Zurück" xr:uid="{77616C69-3F78-42FE-B134-E06639EEBE99}"/>
    <hyperlink ref="E40:F41" location="'18'!A1" display="Zum Plan " xr:uid="{B9A76624-D1F7-434C-993E-6E5C4B9330EF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95160F8-B9D0-4C91-8463-6DB701E110BC}">
          <x14:formula1>
            <xm:f>Daten!$B$6:$B$7</xm:f>
          </x14:formula1>
          <xm:sqref>D21</xm:sqref>
        </x14:dataValidation>
        <x14:dataValidation type="list" allowBlank="1" showInputMessage="1" showErrorMessage="1" errorTitle="Falsches Mass" error="Muss zwischen 750 und 1250 mm sein" xr:uid="{1A95E0E8-80CE-4F5E-A577-107CFFE0E8D4}">
          <x14:formula1>
            <xm:f>Daten!$B$2:$B$3</xm:f>
          </x14:formula1>
          <xm:sqref>D32 D34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AB6C-722C-4289-9600-11C0E3507180}">
  <sheetPr>
    <pageSetUpPr fitToPage="1"/>
  </sheetPr>
  <dimension ref="C2:AJ77"/>
  <sheetViews>
    <sheetView zoomScale="70" zoomScaleNormal="70" workbookViewId="0">
      <selection activeCell="AP25" sqref="AP25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4.42578125" style="1" bestFit="1" customWidth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P P L T '!U25</f>
        <v>26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P P L T 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P P L T '!U11</f>
        <v>1445</v>
      </c>
      <c r="I10" s="18" t="s">
        <v>19</v>
      </c>
      <c r="AF10" s="21">
        <f>IF('P P P L T '!$D$21="Porta 60",Daten!F4,IF('P P P L T '!$D$21="Porta 100",Daten!F3,0))</f>
        <v>30430</v>
      </c>
      <c r="AG10" s="21">
        <v>1</v>
      </c>
      <c r="AH10" s="21" t="str">
        <f>IF(AF10=30430,Daten!G3,IF(AF10=30431,Daten!G4,0))</f>
        <v>Ganitur Porta 100</v>
      </c>
      <c r="AI10" s="21"/>
      <c r="AJ10" s="21"/>
    </row>
    <row r="11" spans="6:36" x14ac:dyDescent="0.25">
      <c r="AF11" s="21">
        <f>'P P P L T '!V42</f>
        <v>30437</v>
      </c>
      <c r="AG11" s="21">
        <v>1</v>
      </c>
      <c r="AH11" s="21" t="str">
        <f>'P P P L T '!W42</f>
        <v>Hawa Acoustics XS links</v>
      </c>
      <c r="AI11" s="21"/>
      <c r="AJ11" s="21"/>
    </row>
    <row r="12" spans="6:36" x14ac:dyDescent="0.25">
      <c r="AF12" s="21"/>
      <c r="AG12" s="21"/>
      <c r="AH12" s="21" t="s">
        <v>110</v>
      </c>
      <c r="AI12" s="21">
        <f>'P P P L T '!U38</f>
        <v>775</v>
      </c>
      <c r="AJ12" s="21" t="s">
        <v>19</v>
      </c>
    </row>
    <row r="13" spans="6:36" x14ac:dyDescent="0.25">
      <c r="AF13" s="21"/>
      <c r="AG13" s="21"/>
      <c r="AH13" s="21" t="s">
        <v>109</v>
      </c>
      <c r="AI13" s="21">
        <f>'P P P L T '!U40</f>
        <v>820</v>
      </c>
      <c r="AJ13" s="21" t="s">
        <v>19</v>
      </c>
    </row>
    <row r="14" spans="6:36" x14ac:dyDescent="0.25">
      <c r="AF14" s="21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21" t="str">
        <f>'P P P L T '!V31</f>
        <v>057.3179.200</v>
      </c>
      <c r="AG15" s="21">
        <v>1</v>
      </c>
      <c r="AH15" s="21" t="str">
        <f>'P P P L T '!W31</f>
        <v>Montage-Set Hawa Porta 60/100, 2000 mm</v>
      </c>
      <c r="AI15" s="21"/>
      <c r="AJ15" s="21"/>
    </row>
    <row r="16" spans="6:36" x14ac:dyDescent="0.25">
      <c r="AF16" s="21"/>
      <c r="AG16" s="21"/>
      <c r="AH16" s="21"/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32">
        <f>IF('P P P L T '!D32="Ja",Daten!L35,0)</f>
        <v>0</v>
      </c>
      <c r="AG18" s="21">
        <f>IF('P P P L T '!D32="Ja",1,0)</f>
        <v>0</v>
      </c>
      <c r="AH18" s="21">
        <f>IF('P P P L T '!D32="Ja",Daten!M35,0)</f>
        <v>0</v>
      </c>
      <c r="AI18" s="21"/>
      <c r="AJ18" s="21"/>
    </row>
    <row r="19" spans="32:36" x14ac:dyDescent="0.25">
      <c r="AF19" s="32" t="str">
        <f>IF('P P P L T '!D34="Ja",Daten!L36,0)</f>
        <v>057.3178.071</v>
      </c>
      <c r="AG19" s="21">
        <f>IF('P P P L T '!D34="Ja",1,0)</f>
        <v>1</v>
      </c>
      <c r="AH19" s="21" t="str">
        <f>IF('P P P L T '!D34="Ja",Daten!M36,0)</f>
        <v>Push-to-open Hawa Porta 100, 40–100 kg, 1 Stück</v>
      </c>
      <c r="AI19" s="21"/>
      <c r="AJ19" s="21"/>
    </row>
    <row r="20" spans="32:36" x14ac:dyDescent="0.25">
      <c r="AF20" s="32"/>
      <c r="AG20" s="21"/>
      <c r="AH20" s="21"/>
      <c r="AI20" s="21"/>
      <c r="AJ20" s="21"/>
    </row>
    <row r="48" spans="3:5" x14ac:dyDescent="0.25">
      <c r="C48" s="16" t="s">
        <v>59</v>
      </c>
      <c r="D48" s="17">
        <f>'P P P L T '!U30</f>
        <v>1448</v>
      </c>
      <c r="E48" s="18" t="s">
        <v>19</v>
      </c>
    </row>
    <row r="49" spans="3:21" ht="6" customHeight="1" x14ac:dyDescent="0.25"/>
    <row r="51" spans="3:21" ht="6" customHeight="1" x14ac:dyDescent="0.25"/>
    <row r="52" spans="3:21" x14ac:dyDescent="0.25">
      <c r="C52" s="16" t="s">
        <v>56</v>
      </c>
      <c r="D52" s="17">
        <f>'P P P L T '!D11</f>
        <v>750</v>
      </c>
      <c r="E52" s="18" t="s">
        <v>19</v>
      </c>
      <c r="S52" s="16" t="s">
        <v>58</v>
      </c>
      <c r="T52" s="17">
        <f>'P P P L T '!D27</f>
        <v>6</v>
      </c>
      <c r="U52" s="18" t="s">
        <v>19</v>
      </c>
    </row>
    <row r="53" spans="3:21" ht="6" customHeight="1" x14ac:dyDescent="0.25"/>
    <row r="54" spans="3:21" x14ac:dyDescent="0.25">
      <c r="C54" s="16" t="s">
        <v>68</v>
      </c>
      <c r="D54" s="17">
        <f>'P P P L T '!U13</f>
        <v>800</v>
      </c>
      <c r="E54" s="18" t="s">
        <v>19</v>
      </c>
    </row>
    <row r="55" spans="3:21" ht="6" customHeight="1" x14ac:dyDescent="0.25"/>
    <row r="56" spans="3:21" x14ac:dyDescent="0.25">
      <c r="C56" s="16" t="s">
        <v>134</v>
      </c>
      <c r="D56" s="17">
        <f>D54+72-'P P P L T '!D19</f>
        <v>752</v>
      </c>
      <c r="E56" s="18" t="s">
        <v>19</v>
      </c>
    </row>
    <row r="63" spans="3:21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C002CE2B-07E4-44CC-A8DD-DB93EBE994ED}"/>
    <hyperlink ref="C73:D74" location="'P P P L T '!A1" display="Zurück" xr:uid="{B1200C8C-8833-4BD9-B2E2-98A320E67445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3AA6-BC88-42B2-AF14-A41895132D79}">
  <dimension ref="B3:X48"/>
  <sheetViews>
    <sheetView zoomScale="85" zoomScaleNormal="85" workbookViewId="0">
      <selection activeCell="B38" sqref="B38:C39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ht="21" customHeight="1" x14ac:dyDescent="0.25">
      <c r="B3" s="117" t="s">
        <v>175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O7" s="27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D13-39-6-10</f>
        <v>1445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1.1559999999999999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28.9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26" t="s">
        <v>164</v>
      </c>
      <c r="D19" s="42" t="s">
        <v>154</v>
      </c>
      <c r="F19" s="26" t="str">
        <f>IF(D19="Porta 100","maximal 100 Kg Türgewicht",IF(D19="Porta 60","maximal 60 Kg Türgewicht",0))</f>
        <v>maximal 100 Kg Türgewicht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ht="30" customHeight="1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6" t="s">
        <v>47</v>
      </c>
      <c r="V20" s="5"/>
      <c r="W20" s="5"/>
    </row>
    <row r="21" spans="2:23" x14ac:dyDescent="0.25">
      <c r="B21" s="126" t="s">
        <v>28</v>
      </c>
      <c r="C21" s="127"/>
      <c r="D21" s="127"/>
      <c r="E21" s="127"/>
      <c r="F21" s="128"/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>
        <v>39</v>
      </c>
      <c r="V21" s="5" t="s">
        <v>19</v>
      </c>
      <c r="W21" s="5" t="s">
        <v>2</v>
      </c>
    </row>
    <row r="22" spans="2:23" ht="6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/>
      <c r="V22" s="5"/>
      <c r="W22" s="5"/>
    </row>
    <row r="23" spans="2:23" x14ac:dyDescent="0.25">
      <c r="B23" s="1" t="s">
        <v>30</v>
      </c>
      <c r="D23" s="24">
        <v>30</v>
      </c>
      <c r="E23" s="1" t="s">
        <v>19</v>
      </c>
      <c r="F23" s="1" t="s">
        <v>132</v>
      </c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f>D25+20</f>
        <v>26</v>
      </c>
      <c r="V23" s="5" t="s">
        <v>19</v>
      </c>
      <c r="W23" s="5" t="s">
        <v>67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2</v>
      </c>
      <c r="C25" s="1" t="s">
        <v>33</v>
      </c>
      <c r="D25" s="34">
        <v>6</v>
      </c>
      <c r="E25" s="1" t="s">
        <v>19</v>
      </c>
      <c r="F25" s="1" t="s">
        <v>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D11+50</f>
        <v>800</v>
      </c>
      <c r="V25" s="5" t="s">
        <v>19</v>
      </c>
      <c r="W25" s="5" t="s">
        <v>135</v>
      </c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6" t="s">
        <v>49</v>
      </c>
      <c r="V27" s="5"/>
      <c r="W27" s="5"/>
    </row>
    <row r="28" spans="2:23" x14ac:dyDescent="0.25">
      <c r="B28" s="126" t="s">
        <v>35</v>
      </c>
      <c r="C28" s="127"/>
      <c r="D28" s="127"/>
      <c r="E28" s="127"/>
      <c r="F28" s="128"/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>
        <f>(2*U13)-32</f>
        <v>1568</v>
      </c>
      <c r="V28" s="5" t="s">
        <v>19</v>
      </c>
      <c r="W28" s="5" t="s">
        <v>48</v>
      </c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5"/>
      <c r="V29" s="5" t="str">
        <f>IF(U28&lt;2001,Daten!L32,IF(U28&lt;2501,Daten!L33,"0"))</f>
        <v>057.3179.200</v>
      </c>
      <c r="W29" s="5" t="str">
        <f>IF(U28&lt;2001,Daten!M32,IF(U28&lt;2501,Daten!M33,"siehe Katalog"))</f>
        <v>Montage-Set Hawa Porta 60/100, 2000 mm</v>
      </c>
    </row>
    <row r="30" spans="2:23" x14ac:dyDescent="0.25">
      <c r="B30" s="1" t="s">
        <v>133</v>
      </c>
      <c r="D30" s="34" t="s">
        <v>41</v>
      </c>
      <c r="F30" s="1" t="s">
        <v>39</v>
      </c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ht="15" customHeight="1" x14ac:dyDescent="0.25">
      <c r="B31" s="26" t="s">
        <v>197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/>
      <c r="W31" s="5"/>
    </row>
    <row r="32" spans="2:23" x14ac:dyDescent="0.25">
      <c r="B32" s="1" t="s">
        <v>186</v>
      </c>
      <c r="D32" s="34" t="s">
        <v>40</v>
      </c>
      <c r="F32" s="1" t="s">
        <v>187</v>
      </c>
      <c r="G32" s="29"/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ht="6" customHeight="1" x14ac:dyDescent="0.25"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6" t="s">
        <v>53</v>
      </c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>
        <f>U13-25</f>
        <v>775</v>
      </c>
      <c r="V36" s="5" t="s">
        <v>19</v>
      </c>
      <c r="W36" s="5" t="s">
        <v>110</v>
      </c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0" t="s">
        <v>16</v>
      </c>
      <c r="C38" s="71"/>
      <c r="E38" s="70" t="s">
        <v>111</v>
      </c>
      <c r="F38" s="71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U13+20</f>
        <v>820</v>
      </c>
      <c r="V38" s="5" t="s">
        <v>19</v>
      </c>
      <c r="W38" s="5" t="s">
        <v>54</v>
      </c>
    </row>
    <row r="39" spans="2:23" x14ac:dyDescent="0.25">
      <c r="B39" s="72"/>
      <c r="C39" s="73"/>
      <c r="E39" s="72"/>
      <c r="F39" s="73"/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>
        <f>IF(U13&lt;901,Daten!I8,IF(U13&lt;1021,Daten!I9,IF(U13&lt;1151,Daten!I10,IF(U13&lt;1271,Daten!I11,Daten!I12))))</f>
        <v>30436</v>
      </c>
      <c r="W40" s="5" t="str">
        <f>IF(V40=30436,Daten!J8,IF(V40=30438,Daten!J9,IF(V40=30440,Daten!J10,IF(V40=30442,Daten!J11,Daten!J12))))</f>
        <v xml:space="preserve">Hawa Acoustics XS rechts </v>
      </c>
    </row>
    <row r="41" spans="2:23" ht="6" customHeight="1" x14ac:dyDescent="0.25">
      <c r="B41" s="70" t="s">
        <v>8</v>
      </c>
      <c r="C41" s="71"/>
      <c r="J41" s="10"/>
      <c r="K41" s="11"/>
      <c r="L41" s="11"/>
      <c r="M41" s="11"/>
      <c r="N41" s="11"/>
      <c r="O41" s="11"/>
      <c r="P41" s="11"/>
      <c r="Q41" s="11"/>
      <c r="R41" s="12"/>
      <c r="S41" s="11"/>
    </row>
    <row r="42" spans="2:23" x14ac:dyDescent="0.25">
      <c r="B42" s="72"/>
      <c r="C42" s="73"/>
      <c r="J42" s="10"/>
      <c r="K42" s="11"/>
      <c r="L42" s="11"/>
      <c r="M42" s="11"/>
      <c r="N42" s="11"/>
      <c r="O42" s="11"/>
      <c r="P42" s="11"/>
      <c r="Q42" s="11"/>
      <c r="R42" s="12"/>
      <c r="S42" s="11"/>
    </row>
    <row r="43" spans="2:23" ht="6" customHeight="1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</row>
    <row r="46" spans="2:23" x14ac:dyDescent="0.25">
      <c r="J46" s="13"/>
      <c r="K46" s="14"/>
      <c r="L46" s="14"/>
      <c r="M46" s="14"/>
      <c r="N46" s="14"/>
      <c r="O46" s="14"/>
      <c r="P46" s="14"/>
      <c r="Q46" s="14"/>
      <c r="R46" s="15"/>
      <c r="S46" s="11"/>
    </row>
    <row r="48" spans="2:23" x14ac:dyDescent="0.25">
      <c r="J48" s="19"/>
    </row>
  </sheetData>
  <sheetProtection sheet="1" objects="1" scenarios="1"/>
  <mergeCells count="8">
    <mergeCell ref="B41:C42"/>
    <mergeCell ref="B3:M5"/>
    <mergeCell ref="B7:M7"/>
    <mergeCell ref="B9:F9"/>
    <mergeCell ref="B21:F21"/>
    <mergeCell ref="B28:F28"/>
    <mergeCell ref="B38:C39"/>
    <mergeCell ref="E38:F39"/>
  </mergeCells>
  <dataValidations disablePrompts="1" count="6">
    <dataValidation type="whole" allowBlank="1" showInputMessage="1" showErrorMessage="1" errorTitle="Falsches Mass" error="Muss zwischen 6 und 25 mm sein" sqref="D25" xr:uid="{A15A0FF4-C36E-4A5E-BDB8-4CE49F0071E0}">
      <formula1>6</formula1>
      <formula2>25</formula2>
    </dataValidation>
    <dataValidation type="whole" allowBlank="1" showInputMessage="1" showErrorMessage="1" errorTitle="Falsches Mass" error="Muss zwischen 750 und 1250 mm sein" sqref="D26" xr:uid="{C1D14B73-5E3A-4C01-89E3-629945DAEDD0}">
      <formula1>6</formula1>
      <formula2>25</formula2>
    </dataValidation>
    <dataValidation allowBlank="1" showInputMessage="1" showErrorMessage="1" errorTitle="Flasches Mass" error="Muss zwischen 44 und 50 mm sein" sqref="D17" xr:uid="{47C79380-CC69-48BF-A676-FFAF90E0E334}"/>
    <dataValidation type="whole" allowBlank="1" showInputMessage="1" showErrorMessage="1" errorTitle="Flasches Mass" error="Muss zwischen 1500 und 2550 mm sein" sqref="D13" xr:uid="{449CD15E-374C-4047-AEEA-FC440568BDB0}">
      <formula1>1500</formula1>
      <formula2>2550</formula2>
    </dataValidation>
    <dataValidation type="whole" allowBlank="1" showInputMessage="1" showErrorMessage="1" errorTitle="Falsches Mass" error="Muss zwischen 750 und 1250 mm sein" sqref="D11" xr:uid="{6D9526E3-D184-4CC5-B830-F926A9392CF3}">
      <formula1>750</formula1>
      <formula2>1250</formula2>
    </dataValidation>
    <dataValidation type="whole" allowBlank="1" showInputMessage="1" showErrorMessage="1" errorTitle="Flasches Mass" error="Muss zwischen 39 und 45 mm sein" sqref="D15" xr:uid="{D38F7F98-A457-4ACA-A2A8-29A7F9C536BA}">
      <formula1>39</formula1>
      <formula2>45</formula2>
    </dataValidation>
  </dataValidations>
  <hyperlinks>
    <hyperlink ref="B41:C42" location="Startseite!A1" display="Home" xr:uid="{9320657B-F6F4-482A-B350-834933A4A6C8}"/>
    <hyperlink ref="B38:C39" location="'Art P P'!A1" display="Zurück" xr:uid="{286DF9B9-3728-4A07-9393-492613FCA5AD}"/>
    <hyperlink ref="E38:F39" location="'19'!A1" display="Zum Plan " xr:uid="{7F6CB670-908D-4CAF-A48B-3CCF995375D0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E00FA9A-071F-4CC0-93CD-E65E38C7CF25}">
          <x14:formula1>
            <xm:f>Daten!$B$6:$B$7</xm:f>
          </x14:formula1>
          <xm:sqref>D19</xm:sqref>
        </x14:dataValidation>
        <x14:dataValidation type="list" allowBlank="1" showInputMessage="1" showErrorMessage="1" errorTitle="Falsches Mass" error="Muss zwischen 750 und 1250 mm sein" xr:uid="{A746D97D-6C1D-45B9-9B44-50C4555AF724}">
          <x14:formula1>
            <xm:f>Daten!$B$2:$B$3</xm:f>
          </x14:formula1>
          <xm:sqref>D30 D32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774D-CB30-4A68-AA3C-257E721A999C}">
  <sheetPr>
    <pageSetUpPr fitToPage="1"/>
  </sheetPr>
  <dimension ref="C2:AJ77"/>
  <sheetViews>
    <sheetView zoomScale="70" zoomScaleNormal="70" workbookViewId="0"/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4.42578125" style="1" bestFit="1" customWidth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P P R G '!U23</f>
        <v>26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P P R G 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P P R G '!U11</f>
        <v>1445</v>
      </c>
      <c r="I10" s="18" t="s">
        <v>19</v>
      </c>
      <c r="AF10" s="32">
        <f>IF('P P P R G '!$D$19="Porta 60",Daten!F4,IF('P P P R G '!$D$19="Porta 100",Daten!F3,0))</f>
        <v>30430</v>
      </c>
      <c r="AG10" s="21">
        <v>1</v>
      </c>
      <c r="AH10" s="21" t="str">
        <f>IF(AF10=30430,Daten!G3,IF(AF10=30431,Daten!G4,0))</f>
        <v>Ganitur Porta 100</v>
      </c>
      <c r="AI10" s="21"/>
      <c r="AJ10" s="21"/>
    </row>
    <row r="11" spans="6:36" x14ac:dyDescent="0.25">
      <c r="AF11" s="32">
        <f>'P P P R G '!V40</f>
        <v>30436</v>
      </c>
      <c r="AG11" s="21">
        <v>1</v>
      </c>
      <c r="AH11" s="21" t="str">
        <f>'P P P R G '!W40</f>
        <v xml:space="preserve">Hawa Acoustics XS rechts </v>
      </c>
      <c r="AI11" s="21"/>
      <c r="AJ11" s="21"/>
    </row>
    <row r="12" spans="6:36" x14ac:dyDescent="0.25">
      <c r="AF12" s="32"/>
      <c r="AG12" s="21"/>
      <c r="AH12" s="21" t="s">
        <v>110</v>
      </c>
      <c r="AI12" s="21">
        <f>'P P P R G '!U36</f>
        <v>775</v>
      </c>
      <c r="AJ12" s="21" t="s">
        <v>19</v>
      </c>
    </row>
    <row r="13" spans="6:36" x14ac:dyDescent="0.25">
      <c r="AF13" s="32"/>
      <c r="AG13" s="21"/>
      <c r="AH13" s="21" t="s">
        <v>109</v>
      </c>
      <c r="AI13" s="21">
        <f>'P P P R G '!U38</f>
        <v>820</v>
      </c>
      <c r="AJ13" s="21" t="s">
        <v>19</v>
      </c>
    </row>
    <row r="14" spans="6:36" x14ac:dyDescent="0.25">
      <c r="AF14" s="32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32" t="str">
        <f>'P P P R G '!V29</f>
        <v>057.3179.200</v>
      </c>
      <c r="AG15" s="21">
        <v>1</v>
      </c>
      <c r="AH15" s="21" t="str">
        <f>'P P P R G '!W29</f>
        <v>Montage-Set Hawa Porta 60/100, 2000 mm</v>
      </c>
      <c r="AI15" s="21"/>
      <c r="AJ15" s="21"/>
    </row>
    <row r="16" spans="6:36" x14ac:dyDescent="0.25">
      <c r="AF16" s="21"/>
      <c r="AG16" s="21"/>
      <c r="AH16" s="21"/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32">
        <f>IF('P P P R G '!D30="Ja",Daten!L35,0)</f>
        <v>0</v>
      </c>
      <c r="AG18" s="21">
        <f>IF('P P P R G '!D30="Ja",1,0)</f>
        <v>0</v>
      </c>
      <c r="AH18" s="21">
        <f>IF('P P P R G '!D30="Ja",Daten!M35,0)</f>
        <v>0</v>
      </c>
      <c r="AI18" s="21"/>
      <c r="AJ18" s="21"/>
    </row>
    <row r="19" spans="32:36" x14ac:dyDescent="0.25">
      <c r="AF19" s="32" t="str">
        <f>IF('P P P R G '!D32="Ja",Daten!L36,0)</f>
        <v>057.3178.071</v>
      </c>
      <c r="AG19" s="21">
        <f>IF('P P P R G '!D32="Ja",1,0)</f>
        <v>1</v>
      </c>
      <c r="AH19" s="21" t="str">
        <f>IF('P P P R G '!D32="Ja",Daten!M36,0)</f>
        <v>Push-to-open Hawa Porta 100, 40–100 kg, 1 Stück</v>
      </c>
      <c r="AI19" s="21"/>
      <c r="AJ19" s="21"/>
    </row>
    <row r="20" spans="32:36" x14ac:dyDescent="0.25">
      <c r="AF20" s="21"/>
      <c r="AG20" s="21"/>
      <c r="AH20" s="21"/>
      <c r="AI20" s="21"/>
      <c r="AJ20" s="21"/>
    </row>
    <row r="48" spans="3:5" x14ac:dyDescent="0.25">
      <c r="C48" s="16" t="s">
        <v>59</v>
      </c>
      <c r="D48" s="17">
        <f>'P P P R G '!U28</f>
        <v>1568</v>
      </c>
      <c r="E48" s="18" t="s">
        <v>19</v>
      </c>
    </row>
    <row r="49" spans="3:21" ht="6" customHeight="1" x14ac:dyDescent="0.25"/>
    <row r="51" spans="3:21" ht="6" customHeight="1" x14ac:dyDescent="0.25"/>
    <row r="52" spans="3:21" x14ac:dyDescent="0.25">
      <c r="C52" s="16" t="s">
        <v>56</v>
      </c>
      <c r="D52" s="17">
        <f>'P P P R G '!D11</f>
        <v>750</v>
      </c>
      <c r="E52" s="18" t="s">
        <v>19</v>
      </c>
      <c r="S52" s="16" t="s">
        <v>58</v>
      </c>
      <c r="T52" s="17">
        <f>'P P P R G '!D25</f>
        <v>6</v>
      </c>
      <c r="U52" s="18" t="s">
        <v>19</v>
      </c>
    </row>
    <row r="53" spans="3:21" ht="6" customHeight="1" x14ac:dyDescent="0.25"/>
    <row r="54" spans="3:21" x14ac:dyDescent="0.25">
      <c r="C54" s="16" t="s">
        <v>68</v>
      </c>
      <c r="D54" s="17">
        <f>'P P P R G '!U13</f>
        <v>800</v>
      </c>
      <c r="E54" s="18" t="s">
        <v>19</v>
      </c>
    </row>
    <row r="55" spans="3:21" ht="6" customHeight="1" x14ac:dyDescent="0.25"/>
    <row r="56" spans="3:21" x14ac:dyDescent="0.25">
      <c r="C56" s="16" t="s">
        <v>134</v>
      </c>
      <c r="D56" s="17">
        <f>D54+72</f>
        <v>872</v>
      </c>
      <c r="E56" s="18" t="s">
        <v>19</v>
      </c>
    </row>
    <row r="63" spans="3:21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567BB661-1BBB-4EFC-BA19-B7CDD0375DDC}"/>
    <hyperlink ref="C73:D74" location="'P P P R G '!A1" display="Zurück" xr:uid="{B5A7A0CD-CB0F-445D-8FB6-3E86B0544111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550B-32A5-41E1-A596-14724DFCDACA}">
  <dimension ref="B3:X50"/>
  <sheetViews>
    <sheetView zoomScale="85" zoomScaleNormal="85" workbookViewId="0">
      <selection activeCell="B40" sqref="B40:C41"/>
    </sheetView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5" width="11.42578125" style="1"/>
    <col min="16" max="16" width="22.28515625" style="1" customWidth="1"/>
    <col min="17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12.140625" style="1" hidden="1" customWidth="1" outlineLevel="1"/>
    <col min="23" max="23" width="53.28515625" style="1" hidden="1" customWidth="1" outlineLevel="1"/>
    <col min="24" max="24" width="11.42578125" style="1" collapsed="1"/>
    <col min="25" max="16384" width="11.42578125" style="1"/>
  </cols>
  <sheetData>
    <row r="3" spans="2:23" ht="21" customHeight="1" x14ac:dyDescent="0.25">
      <c r="B3" s="117" t="s">
        <v>189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O7" s="27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34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D13-39-6-10</f>
        <v>1445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34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D11+50</f>
        <v>800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34">
        <v>40</v>
      </c>
      <c r="E15" s="1" t="s">
        <v>19</v>
      </c>
      <c r="F15" s="1" t="s">
        <v>168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1.1559999999999999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34">
        <v>25</v>
      </c>
      <c r="E17" s="1" t="s">
        <v>26</v>
      </c>
      <c r="F17" s="1" t="s">
        <v>27</v>
      </c>
      <c r="H17" s="4">
        <f>U15*D17</f>
        <v>28.9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ht="6" customHeight="1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x14ac:dyDescent="0.25">
      <c r="B19" s="1" t="s">
        <v>112</v>
      </c>
      <c r="D19" s="34">
        <v>120</v>
      </c>
      <c r="E19" s="1" t="s">
        <v>19</v>
      </c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5"/>
      <c r="V19" s="5"/>
      <c r="W19" s="5"/>
    </row>
    <row r="20" spans="2:23" x14ac:dyDescent="0.25"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/>
      <c r="V20" s="5"/>
      <c r="W20" s="5"/>
    </row>
    <row r="21" spans="2:23" x14ac:dyDescent="0.25">
      <c r="B21" s="26" t="s">
        <v>164</v>
      </c>
      <c r="D21" s="42" t="s">
        <v>154</v>
      </c>
      <c r="F21" s="26" t="str">
        <f>IF(D21="Porta 100","maximal 100 Kg Türgewicht",IF(D21="Porta 60","maximal 60 Kg Türgewicht",0))</f>
        <v>maximal 100 Kg Türgewicht</v>
      </c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ht="30" customHeight="1" x14ac:dyDescent="0.25"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6" t="s">
        <v>47</v>
      </c>
      <c r="V22" s="5"/>
      <c r="W22" s="5"/>
    </row>
    <row r="23" spans="2:23" x14ac:dyDescent="0.25">
      <c r="B23" s="126" t="s">
        <v>28</v>
      </c>
      <c r="C23" s="127"/>
      <c r="D23" s="127"/>
      <c r="E23" s="127"/>
      <c r="F23" s="128"/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>
        <v>39</v>
      </c>
      <c r="V23" s="5" t="s">
        <v>19</v>
      </c>
      <c r="W23" s="5" t="s">
        <v>2</v>
      </c>
    </row>
    <row r="24" spans="2:23" ht="6" customHeight="1" x14ac:dyDescent="0.25"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/>
      <c r="V24" s="5"/>
      <c r="W24" s="5"/>
    </row>
    <row r="25" spans="2:23" x14ac:dyDescent="0.25">
      <c r="B25" s="1" t="s">
        <v>30</v>
      </c>
      <c r="D25" s="24">
        <v>30</v>
      </c>
      <c r="E25" s="1" t="s">
        <v>19</v>
      </c>
      <c r="F25" s="1" t="s">
        <v>132</v>
      </c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>
        <f>D27+20</f>
        <v>26</v>
      </c>
      <c r="V25" s="5" t="s">
        <v>19</v>
      </c>
      <c r="W25" s="5" t="s">
        <v>67</v>
      </c>
    </row>
    <row r="26" spans="2:23" ht="6" customHeight="1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5"/>
      <c r="V26" s="5"/>
      <c r="W26" s="5"/>
    </row>
    <row r="27" spans="2:23" x14ac:dyDescent="0.25">
      <c r="B27" s="1" t="s">
        <v>2</v>
      </c>
      <c r="C27" s="1" t="s">
        <v>33</v>
      </c>
      <c r="D27" s="34">
        <v>6</v>
      </c>
      <c r="E27" s="1" t="s">
        <v>19</v>
      </c>
      <c r="F27" s="1" t="s">
        <v>32</v>
      </c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D11+50</f>
        <v>800</v>
      </c>
      <c r="V27" s="5" t="s">
        <v>19</v>
      </c>
      <c r="W27" s="5" t="s">
        <v>135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/>
      <c r="W28" s="5"/>
    </row>
    <row r="29" spans="2:23" x14ac:dyDescent="0.25"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49</v>
      </c>
      <c r="V29" s="5"/>
      <c r="W29" s="5"/>
    </row>
    <row r="30" spans="2:23" x14ac:dyDescent="0.25">
      <c r="B30" s="126" t="s">
        <v>196</v>
      </c>
      <c r="C30" s="127"/>
      <c r="D30" s="127"/>
      <c r="E30" s="127"/>
      <c r="F30" s="128"/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>
        <f>(2*U13)-D19-32</f>
        <v>1448</v>
      </c>
      <c r="V30" s="5" t="s">
        <v>19</v>
      </c>
      <c r="W30" s="5" t="s">
        <v>48</v>
      </c>
    </row>
    <row r="31" spans="2:23" x14ac:dyDescent="0.25"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/>
      <c r="V31" s="5" t="str">
        <f>IF(U30&lt;2001,Daten!L32,IF(U30&lt;2501,Daten!L33,"0"))</f>
        <v>057.3179.200</v>
      </c>
      <c r="W31" s="5" t="str">
        <f>IF(U30&lt;2001,Daten!M32,IF(U30&lt;2501,Daten!M33,"siehe Katalog"))</f>
        <v>Montage-Set Hawa Porta 60/100, 2000 mm</v>
      </c>
    </row>
    <row r="32" spans="2:23" x14ac:dyDescent="0.25">
      <c r="B32" s="1" t="s">
        <v>133</v>
      </c>
      <c r="D32" s="34" t="s">
        <v>41</v>
      </c>
      <c r="F32" s="1" t="s">
        <v>39</v>
      </c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ht="15" customHeight="1" x14ac:dyDescent="0.25">
      <c r="B33" s="26" t="s">
        <v>197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/>
      <c r="V33" s="5"/>
      <c r="W33" s="5"/>
    </row>
    <row r="34" spans="2:23" x14ac:dyDescent="0.25">
      <c r="B34" s="1" t="s">
        <v>186</v>
      </c>
      <c r="D34" s="34" t="s">
        <v>40</v>
      </c>
      <c r="F34" s="1" t="s">
        <v>187</v>
      </c>
      <c r="G34" s="29"/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ht="6" customHeight="1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/>
      <c r="W35" s="5"/>
    </row>
    <row r="36" spans="2:23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6" t="s">
        <v>53</v>
      </c>
      <c r="V36" s="5"/>
      <c r="W36" s="5"/>
    </row>
    <row r="37" spans="2:23" ht="6" customHeight="1" x14ac:dyDescent="0.25"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>
        <f>U13-25</f>
        <v>775</v>
      </c>
      <c r="V38" s="5" t="s">
        <v>19</v>
      </c>
      <c r="W38" s="5" t="s">
        <v>110</v>
      </c>
    </row>
    <row r="39" spans="2:23" ht="6" customHeight="1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5"/>
      <c r="V39" s="5"/>
      <c r="W39" s="5"/>
    </row>
    <row r="40" spans="2:23" x14ac:dyDescent="0.25">
      <c r="B40" s="70" t="s">
        <v>16</v>
      </c>
      <c r="C40" s="71"/>
      <c r="E40" s="70" t="s">
        <v>111</v>
      </c>
      <c r="F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>
        <f>U13+20</f>
        <v>820</v>
      </c>
      <c r="V40" s="5" t="s">
        <v>19</v>
      </c>
      <c r="W40" s="5" t="s">
        <v>54</v>
      </c>
    </row>
    <row r="41" spans="2:23" x14ac:dyDescent="0.25">
      <c r="B41" s="72"/>
      <c r="C41" s="73"/>
      <c r="E41" s="72"/>
      <c r="F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/>
      <c r="V41" s="5"/>
      <c r="W41" s="5"/>
    </row>
    <row r="42" spans="2:23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>
        <f>IF(U13&lt;901,Daten!I8,IF(U13&lt;1021,Daten!I9,IF(U13&lt;1151,Daten!I10,IF(U13&lt;1271,Daten!I11,Daten!FI12))))</f>
        <v>30436</v>
      </c>
      <c r="W42" s="5" t="str">
        <f>IF(V42=30436,Daten!J8,IF(V42=30438,Daten!J9,IF(V42=30440,Daten!J10,IF(V42=30442,Daten!J11,Daten!J12))))</f>
        <v xml:space="preserve">Hawa Acoustics XS rechts </v>
      </c>
    </row>
    <row r="43" spans="2:23" ht="6" customHeight="1" x14ac:dyDescent="0.25">
      <c r="B43" s="70" t="s">
        <v>8</v>
      </c>
      <c r="C43" s="71"/>
      <c r="J43" s="10"/>
      <c r="K43" s="11"/>
      <c r="L43" s="11"/>
      <c r="M43" s="11"/>
      <c r="N43" s="11"/>
      <c r="O43" s="11"/>
      <c r="P43" s="11"/>
      <c r="Q43" s="11"/>
      <c r="R43" s="12"/>
      <c r="S43" s="11"/>
    </row>
    <row r="44" spans="2:23" x14ac:dyDescent="0.25">
      <c r="B44" s="72"/>
      <c r="C44" s="73"/>
      <c r="J44" s="10"/>
      <c r="K44" s="11"/>
      <c r="L44" s="11"/>
      <c r="M44" s="11"/>
      <c r="N44" s="11"/>
      <c r="O44" s="11"/>
      <c r="P44" s="11"/>
      <c r="Q44" s="11"/>
      <c r="R44" s="12"/>
      <c r="S44" s="11"/>
    </row>
    <row r="45" spans="2:23" ht="6" customHeight="1" x14ac:dyDescent="0.25">
      <c r="J45" s="10"/>
      <c r="K45" s="11"/>
      <c r="L45" s="11"/>
      <c r="M45" s="11"/>
      <c r="N45" s="11"/>
      <c r="O45" s="11"/>
      <c r="P45" s="11"/>
      <c r="Q45" s="11"/>
      <c r="R45" s="12"/>
      <c r="S45" s="11"/>
    </row>
    <row r="46" spans="2:23" x14ac:dyDescent="0.25">
      <c r="J46" s="10"/>
      <c r="K46" s="11"/>
      <c r="L46" s="11"/>
      <c r="M46" s="11"/>
      <c r="N46" s="11"/>
      <c r="O46" s="11"/>
      <c r="P46" s="11"/>
      <c r="Q46" s="11"/>
      <c r="R46" s="12"/>
      <c r="S46" s="11"/>
    </row>
    <row r="47" spans="2:23" ht="6" customHeight="1" x14ac:dyDescent="0.25">
      <c r="J47" s="10"/>
      <c r="K47" s="11"/>
      <c r="L47" s="11"/>
      <c r="M47" s="11"/>
      <c r="N47" s="11"/>
      <c r="O47" s="11"/>
      <c r="P47" s="11"/>
      <c r="Q47" s="11"/>
      <c r="R47" s="12"/>
      <c r="S47" s="11"/>
    </row>
    <row r="48" spans="2:23" x14ac:dyDescent="0.25">
      <c r="J48" s="13"/>
      <c r="K48" s="14"/>
      <c r="L48" s="14"/>
      <c r="M48" s="14"/>
      <c r="N48" s="14"/>
      <c r="O48" s="14"/>
      <c r="P48" s="14"/>
      <c r="Q48" s="14"/>
      <c r="R48" s="15"/>
      <c r="S48" s="11"/>
    </row>
    <row r="50" spans="10:10" x14ac:dyDescent="0.25">
      <c r="J50" s="19"/>
    </row>
  </sheetData>
  <sheetProtection sheet="1" objects="1" scenarios="1"/>
  <mergeCells count="8">
    <mergeCell ref="B43:C44"/>
    <mergeCell ref="B3:M5"/>
    <mergeCell ref="B7:M7"/>
    <mergeCell ref="B9:F9"/>
    <mergeCell ref="B23:F23"/>
    <mergeCell ref="B30:F30"/>
    <mergeCell ref="B40:C41"/>
    <mergeCell ref="E40:F41"/>
  </mergeCells>
  <dataValidations count="7">
    <dataValidation operator="greaterThan" allowBlank="1" showInputMessage="1" showErrorMessage="1" errorTitle="Flasches Mass" error="Muss min. 120 mm sein" sqref="D19" xr:uid="{749D2759-3FF7-4139-8B3A-D905517512D7}"/>
    <dataValidation type="whole" allowBlank="1" showInputMessage="1" showErrorMessage="1" errorTitle="Falsches Mass" error="Muss zwischen 750 und 1250 mm sein" sqref="D11" xr:uid="{D0556F70-F257-48EB-B13C-D57E9D164825}">
      <formula1>750</formula1>
      <formula2>1250</formula2>
    </dataValidation>
    <dataValidation type="whole" allowBlank="1" showInputMessage="1" showErrorMessage="1" errorTitle="Flasches Mass" error="Muss zwischen 1500 und 2550 mm sein" sqref="D13" xr:uid="{44B7A8F4-A9A2-4BBD-B5FA-C808C496D9CB}">
      <formula1>1500</formula1>
      <formula2>2550</formula2>
    </dataValidation>
    <dataValidation allowBlank="1" showInputMessage="1" showErrorMessage="1" errorTitle="Flasches Mass" error="Muss zwischen 44 und 50 mm sein" sqref="D17:D18" xr:uid="{9CA90D40-0D0F-45D7-87DF-3B659CFBA583}"/>
    <dataValidation type="whole" allowBlank="1" showInputMessage="1" showErrorMessage="1" errorTitle="Falsches Mass" error="Muss zwischen 750 und 1250 mm sein" sqref="D28" xr:uid="{B170C0CA-4364-4E9C-AC8C-21E0A1D2FD96}">
      <formula1>6</formula1>
      <formula2>25</formula2>
    </dataValidation>
    <dataValidation type="whole" allowBlank="1" showInputMessage="1" showErrorMessage="1" errorTitle="Falsches Mass" error="Muss zwischen 6 und 25 mm sein" sqref="D27" xr:uid="{1716120F-F752-4281-98C4-9F651005EC11}">
      <formula1>6</formula1>
      <formula2>25</formula2>
    </dataValidation>
    <dataValidation type="whole" allowBlank="1" showInputMessage="1" showErrorMessage="1" errorTitle="Flasches Mass" error="Muss zwischen 39 und 45 mm sein" sqref="D15" xr:uid="{FD33CBD0-BF7F-488D-9DBB-DABD6F0C2AD7}">
      <formula1>39</formula1>
      <formula2>45</formula2>
    </dataValidation>
  </dataValidations>
  <hyperlinks>
    <hyperlink ref="B43:C44" location="Startseite!A1" display="Home" xr:uid="{4F075AD1-96FF-468F-B8BE-E510BF58D117}"/>
    <hyperlink ref="B40:C41" location="'Art P P'!A1" display="Zurück" xr:uid="{695E459A-12CF-4CEA-8D43-B1293FB68DA8}"/>
    <hyperlink ref="E40:F41" location="'20'!A1" display="Zum Plan " xr:uid="{8CEE52A2-1476-47ED-9A5B-7BC4479CA648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alsches Mass" error="Muss zwischen 750 und 1250 mm sein" xr:uid="{F7D9EE3E-3BFD-4088-B51C-4376F45272FD}">
          <x14:formula1>
            <xm:f>Daten!$B$2:$B$3</xm:f>
          </x14:formula1>
          <xm:sqref>D32 D34</xm:sqref>
        </x14:dataValidation>
        <x14:dataValidation type="list" allowBlank="1" showInputMessage="1" showErrorMessage="1" xr:uid="{EC44ECC9-1441-4940-B436-822C63799349}">
          <x14:formula1>
            <xm:f>Daten!$B$6:$B$7</xm:f>
          </x14:formula1>
          <xm:sqref>D21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B0DA-B3CA-48D2-8429-6112C50CD7E0}">
  <sheetPr>
    <pageSetUpPr fitToPage="1"/>
  </sheetPr>
  <dimension ref="C2:AJ77"/>
  <sheetViews>
    <sheetView zoomScale="70" zoomScaleNormal="70" workbookViewId="0">
      <selection activeCell="AP25" sqref="AP25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20.710937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9" width="11.42578125" style="1"/>
    <col min="30" max="30" width="4.5703125" style="1" customWidth="1"/>
    <col min="31" max="31" width="3.5703125" style="1" customWidth="1"/>
    <col min="32" max="32" width="14.42578125" style="1" bestFit="1" customWidth="1"/>
    <col min="33" max="33" width="7.85546875" style="1" bestFit="1" customWidth="1"/>
    <col min="34" max="34" width="55.140625" style="1" bestFit="1" customWidth="1"/>
    <col min="35" max="35" width="11.140625" style="1" customWidth="1"/>
    <col min="36" max="36" width="4.5703125" style="1" bestFit="1" customWidth="1"/>
    <col min="37" max="16384" width="11.42578125" style="1"/>
  </cols>
  <sheetData>
    <row r="2" spans="6:36" s="3" customFormat="1" ht="18.75" x14ac:dyDescent="0.3">
      <c r="F2" s="23"/>
    </row>
    <row r="6" spans="6:36" ht="15.75" thickBot="1" x14ac:dyDescent="0.3">
      <c r="G6" s="16" t="s">
        <v>65</v>
      </c>
      <c r="H6" s="17">
        <f>'P P P R T'!U25</f>
        <v>26</v>
      </c>
      <c r="I6" s="18" t="s">
        <v>19</v>
      </c>
      <c r="AF6" s="20" t="s">
        <v>70</v>
      </c>
      <c r="AG6" s="20"/>
      <c r="AH6" s="20"/>
      <c r="AI6" s="20" t="s">
        <v>108</v>
      </c>
      <c r="AJ6" s="20"/>
    </row>
    <row r="7" spans="6:36" ht="6" customHeight="1" x14ac:dyDescent="0.25">
      <c r="AF7" s="21"/>
      <c r="AG7" s="21"/>
      <c r="AH7" s="21"/>
      <c r="AI7" s="21"/>
      <c r="AJ7" s="21"/>
    </row>
    <row r="8" spans="6:36" x14ac:dyDescent="0.25">
      <c r="G8" s="16" t="s">
        <v>102</v>
      </c>
      <c r="H8" s="17">
        <f>'P P P R T'!D13</f>
        <v>1500</v>
      </c>
      <c r="I8" s="18" t="s">
        <v>19</v>
      </c>
      <c r="AF8" s="22" t="s">
        <v>71</v>
      </c>
      <c r="AG8" s="22" t="s">
        <v>72</v>
      </c>
      <c r="AH8" s="22" t="s">
        <v>73</v>
      </c>
      <c r="AI8" s="22"/>
      <c r="AJ8" s="22"/>
    </row>
    <row r="9" spans="6:36" ht="6" customHeight="1" x14ac:dyDescent="0.25">
      <c r="AF9" s="21"/>
      <c r="AG9" s="21"/>
      <c r="AH9" s="21"/>
      <c r="AI9" s="21"/>
      <c r="AJ9" s="21"/>
    </row>
    <row r="10" spans="6:36" x14ac:dyDescent="0.25">
      <c r="G10" s="16" t="s">
        <v>66</v>
      </c>
      <c r="H10" s="17">
        <f>'P P P R T'!U11</f>
        <v>1445</v>
      </c>
      <c r="I10" s="18" t="s">
        <v>19</v>
      </c>
      <c r="AF10" s="32">
        <f>IF('P P P R T'!$D$21="Porta 60",Daten!F4,IF('P P P R T'!$D$21="Porta 100",Daten!F3,0))</f>
        <v>30430</v>
      </c>
      <c r="AG10" s="21">
        <v>1</v>
      </c>
      <c r="AH10" s="21" t="str">
        <f>IF(AF10=30430,Daten!G3,IF(AF10=30431,Daten!G4,0))</f>
        <v>Ganitur Porta 100</v>
      </c>
      <c r="AI10" s="21"/>
      <c r="AJ10" s="21"/>
    </row>
    <row r="11" spans="6:36" x14ac:dyDescent="0.25">
      <c r="AF11" s="32">
        <f>'P P P R T'!V42</f>
        <v>30436</v>
      </c>
      <c r="AG11" s="21">
        <v>1</v>
      </c>
      <c r="AH11" s="21" t="str">
        <f>'P P P R T'!W42</f>
        <v xml:space="preserve">Hawa Acoustics XS rechts </v>
      </c>
      <c r="AI11" s="21"/>
      <c r="AJ11" s="21"/>
    </row>
    <row r="12" spans="6:36" x14ac:dyDescent="0.25">
      <c r="AF12" s="32"/>
      <c r="AG12" s="21"/>
      <c r="AH12" s="21" t="s">
        <v>110</v>
      </c>
      <c r="AI12" s="21">
        <f>'P P P R T'!U38</f>
        <v>775</v>
      </c>
      <c r="AJ12" s="21" t="s">
        <v>19</v>
      </c>
    </row>
    <row r="13" spans="6:36" x14ac:dyDescent="0.25">
      <c r="AF13" s="32"/>
      <c r="AG13" s="21"/>
      <c r="AH13" s="21" t="s">
        <v>109</v>
      </c>
      <c r="AI13" s="21">
        <f>'P P P R T'!U40</f>
        <v>820</v>
      </c>
      <c r="AJ13" s="21" t="s">
        <v>19</v>
      </c>
    </row>
    <row r="14" spans="6:36" x14ac:dyDescent="0.25">
      <c r="AF14" s="32">
        <f>Daten!F16</f>
        <v>30300</v>
      </c>
      <c r="AG14" s="21">
        <v>1</v>
      </c>
      <c r="AH14" s="21" t="str">
        <f>Daten!G16</f>
        <v>Vertikaldichtung Elipse 11.5mm total 7.7 Lfm</v>
      </c>
      <c r="AI14" s="21"/>
      <c r="AJ14" s="21"/>
    </row>
    <row r="15" spans="6:36" x14ac:dyDescent="0.25">
      <c r="AF15" s="32" t="str">
        <f>'P P P R T'!V31</f>
        <v>057.3179.200</v>
      </c>
      <c r="AG15" s="21">
        <v>1</v>
      </c>
      <c r="AH15" s="21" t="str">
        <f>'P P P R T'!W31</f>
        <v>Montage-Set Hawa Porta 60/100, 2000 mm</v>
      </c>
      <c r="AI15" s="21"/>
      <c r="AJ15" s="21"/>
    </row>
    <row r="16" spans="6:36" x14ac:dyDescent="0.25">
      <c r="AF16" s="21"/>
      <c r="AG16" s="21"/>
      <c r="AH16" s="21"/>
      <c r="AI16" s="21"/>
      <c r="AJ16" s="21"/>
    </row>
    <row r="17" spans="32:36" x14ac:dyDescent="0.25">
      <c r="AF17" s="22" t="s">
        <v>91</v>
      </c>
      <c r="AG17" s="22"/>
      <c r="AH17" s="22"/>
      <c r="AI17" s="22"/>
      <c r="AJ17" s="22"/>
    </row>
    <row r="18" spans="32:36" x14ac:dyDescent="0.25">
      <c r="AF18" s="32">
        <f>IF('P P P R T'!D32="Ja",Daten!L35,0)</f>
        <v>0</v>
      </c>
      <c r="AG18" s="21">
        <f>IF('P P P R T'!D32="Ja",1,0)</f>
        <v>0</v>
      </c>
      <c r="AH18" s="21">
        <f>IF('P P P R T'!D32="Ja",Daten!M35,0)</f>
        <v>0</v>
      </c>
      <c r="AI18" s="21"/>
      <c r="AJ18" s="21"/>
    </row>
    <row r="19" spans="32:36" x14ac:dyDescent="0.25">
      <c r="AF19" s="32" t="str">
        <f>IF('P P P R T'!D34="Ja",Daten!L36,0)</f>
        <v>057.3178.071</v>
      </c>
      <c r="AG19" s="21">
        <f>IF('P P P R T'!D34="Ja",1,0)</f>
        <v>1</v>
      </c>
      <c r="AH19" s="21" t="str">
        <f>IF('P P P R T'!D34="Ja",Daten!M36,0)</f>
        <v>Push-to-open Hawa Porta 100, 40–100 kg, 1 Stück</v>
      </c>
      <c r="AI19" s="21"/>
      <c r="AJ19" s="21"/>
    </row>
    <row r="20" spans="32:36" x14ac:dyDescent="0.25">
      <c r="AF20" s="32"/>
      <c r="AG20" s="21"/>
      <c r="AH20" s="21"/>
      <c r="AI20" s="21"/>
      <c r="AJ20" s="21"/>
    </row>
    <row r="48" spans="3:5" x14ac:dyDescent="0.25">
      <c r="C48" s="16" t="s">
        <v>59</v>
      </c>
      <c r="D48" s="17">
        <f>'P P P R T'!U30</f>
        <v>1448</v>
      </c>
      <c r="E48" s="18" t="s">
        <v>19</v>
      </c>
    </row>
    <row r="49" spans="3:21" ht="6" customHeight="1" x14ac:dyDescent="0.25"/>
    <row r="51" spans="3:21" ht="6" customHeight="1" x14ac:dyDescent="0.25"/>
    <row r="52" spans="3:21" x14ac:dyDescent="0.25">
      <c r="C52" s="16" t="s">
        <v>56</v>
      </c>
      <c r="D52" s="17">
        <f>'P P P R T'!D11</f>
        <v>750</v>
      </c>
      <c r="E52" s="18" t="s">
        <v>19</v>
      </c>
      <c r="S52" s="16" t="s">
        <v>58</v>
      </c>
      <c r="T52" s="17">
        <f>'P P P R T'!D27</f>
        <v>6</v>
      </c>
      <c r="U52" s="18" t="s">
        <v>19</v>
      </c>
    </row>
    <row r="53" spans="3:21" ht="6" customHeight="1" x14ac:dyDescent="0.25"/>
    <row r="54" spans="3:21" x14ac:dyDescent="0.25">
      <c r="C54" s="16" t="s">
        <v>68</v>
      </c>
      <c r="D54" s="17">
        <f>'P P P R T'!U13</f>
        <v>800</v>
      </c>
      <c r="E54" s="18" t="s">
        <v>19</v>
      </c>
    </row>
    <row r="55" spans="3:21" ht="6" customHeight="1" x14ac:dyDescent="0.25"/>
    <row r="56" spans="3:21" x14ac:dyDescent="0.25">
      <c r="C56" s="16" t="s">
        <v>134</v>
      </c>
      <c r="D56" s="17">
        <f>D54+72-'P P P R T'!D19</f>
        <v>752</v>
      </c>
      <c r="E56" s="18" t="s">
        <v>19</v>
      </c>
    </row>
    <row r="63" spans="3:21" ht="6" customHeight="1" x14ac:dyDescent="0.25"/>
    <row r="65" spans="3:4" ht="6" customHeight="1" x14ac:dyDescent="0.25"/>
    <row r="67" spans="3:4" ht="6" customHeight="1" x14ac:dyDescent="0.25"/>
    <row r="73" spans="3:4" x14ac:dyDescent="0.25">
      <c r="C73" s="70" t="s">
        <v>16</v>
      </c>
      <c r="D73" s="71"/>
    </row>
    <row r="74" spans="3:4" x14ac:dyDescent="0.25">
      <c r="C74" s="72"/>
      <c r="D74" s="73"/>
    </row>
    <row r="76" spans="3:4" x14ac:dyDescent="0.25">
      <c r="C76" s="70" t="s">
        <v>8</v>
      </c>
      <c r="D76" s="71"/>
    </row>
    <row r="77" spans="3:4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38414928-B7B7-4204-9C96-C9E1CD7C87B7}"/>
    <hyperlink ref="C73:D74" location="'P P P R T'!A1" display="Zurück" xr:uid="{A4B27EE4-D845-46CE-93E4-88B64B36C778}"/>
  </hyperlinks>
  <pageMargins left="0.7" right="0.7" top="0.78740157499999996" bottom="0.78740157499999996" header="0.3" footer="0.3"/>
  <pageSetup paperSize="8" scale="46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8F0B-0F34-4E18-B9A6-823B35AD9179}">
  <sheetPr>
    <pageSetUpPr fitToPage="1"/>
  </sheetPr>
  <dimension ref="C2:AD77"/>
  <sheetViews>
    <sheetView zoomScale="70" zoomScaleNormal="70" workbookViewId="0">
      <selection activeCell="C76" sqref="C76:D77"/>
    </sheetView>
  </sheetViews>
  <sheetFormatPr baseColWidth="10" defaultColWidth="11.42578125" defaultRowHeight="15" x14ac:dyDescent="0.25"/>
  <cols>
    <col min="1" max="1" width="3.140625" style="1" bestFit="1" customWidth="1"/>
    <col min="2" max="2" width="28" style="1" customWidth="1"/>
    <col min="3" max="3" width="13.42578125" style="1" customWidth="1"/>
    <col min="4" max="5" width="11.42578125" style="1"/>
    <col min="6" max="6" width="9.85546875" style="1" customWidth="1"/>
    <col min="7" max="8" width="11.42578125" style="1"/>
    <col min="9" max="9" width="4.5703125" style="1" bestFit="1" customWidth="1"/>
    <col min="10" max="10" width="3.42578125" style="1" customWidth="1"/>
    <col min="11" max="12" width="11.42578125" style="1"/>
    <col min="13" max="13" width="4" style="1" customWidth="1"/>
    <col min="14" max="14" width="4.7109375" style="1" customWidth="1"/>
    <col min="15" max="17" width="11.42578125" style="1"/>
    <col min="18" max="18" width="12.140625" style="1" customWidth="1"/>
    <col min="19" max="23" width="11.42578125" style="1"/>
    <col min="24" max="24" width="4.5703125" style="1" customWidth="1"/>
    <col min="25" max="25" width="3.5703125" style="1" customWidth="1"/>
    <col min="26" max="26" width="11.42578125" style="1"/>
    <col min="27" max="27" width="7.85546875" style="1" bestFit="1" customWidth="1"/>
    <col min="28" max="28" width="42.42578125" style="1" bestFit="1" customWidth="1"/>
    <col min="29" max="29" width="14.42578125" style="1" bestFit="1" customWidth="1"/>
    <col min="30" max="30" width="4.5703125" style="1" bestFit="1" customWidth="1"/>
    <col min="31" max="16384" width="11.42578125" style="1"/>
  </cols>
  <sheetData>
    <row r="2" spans="6:30" s="3" customFormat="1" ht="18.75" x14ac:dyDescent="0.3">
      <c r="F2" s="23"/>
    </row>
    <row r="6" spans="6:30" ht="15.75" thickBot="1" x14ac:dyDescent="0.3">
      <c r="G6" s="16" t="s">
        <v>65</v>
      </c>
      <c r="H6" s="17">
        <f>'P J N L T'!U23</f>
        <v>11</v>
      </c>
      <c r="I6" s="18" t="s">
        <v>19</v>
      </c>
      <c r="Z6" s="20" t="s">
        <v>70</v>
      </c>
      <c r="AA6" s="20"/>
      <c r="AB6" s="20"/>
      <c r="AC6" s="20" t="s">
        <v>108</v>
      </c>
      <c r="AD6" s="20"/>
    </row>
    <row r="7" spans="6:30" ht="6" customHeight="1" x14ac:dyDescent="0.25">
      <c r="Z7" s="21"/>
      <c r="AA7" s="21"/>
      <c r="AB7" s="21"/>
      <c r="AC7" s="21"/>
      <c r="AD7" s="21"/>
    </row>
    <row r="8" spans="6:30" x14ac:dyDescent="0.25">
      <c r="G8" s="16" t="s">
        <v>102</v>
      </c>
      <c r="H8" s="17">
        <f>'P J N L T'!D13</f>
        <v>1500</v>
      </c>
      <c r="I8" s="18" t="s">
        <v>19</v>
      </c>
      <c r="Z8" s="22" t="s">
        <v>71</v>
      </c>
      <c r="AA8" s="22" t="s">
        <v>72</v>
      </c>
      <c r="AB8" s="22" t="s">
        <v>73</v>
      </c>
      <c r="AC8" s="22"/>
      <c r="AD8" s="22"/>
    </row>
    <row r="9" spans="6:30" ht="6" customHeight="1" x14ac:dyDescent="0.25">
      <c r="Z9" s="21"/>
      <c r="AA9" s="21"/>
      <c r="AB9" s="21"/>
      <c r="AC9" s="21"/>
      <c r="AD9" s="21"/>
    </row>
    <row r="10" spans="6:30" x14ac:dyDescent="0.25">
      <c r="G10" s="16" t="s">
        <v>66</v>
      </c>
      <c r="H10" s="17">
        <f>'P J N L T'!U11</f>
        <v>1444</v>
      </c>
      <c r="I10" s="18" t="s">
        <v>19</v>
      </c>
      <c r="Z10" s="21">
        <f>Daten!F2</f>
        <v>30427</v>
      </c>
      <c r="AA10" s="21">
        <v>1</v>
      </c>
      <c r="AB10" s="21" t="str">
        <f>Daten!G2</f>
        <v>Garnitur Junior 100</v>
      </c>
      <c r="AC10" s="21"/>
      <c r="AD10" s="21"/>
    </row>
    <row r="11" spans="6:30" x14ac:dyDescent="0.25">
      <c r="Z11" s="21">
        <f>'P J N L T'!V46</f>
        <v>30437</v>
      </c>
      <c r="AA11" s="21">
        <v>1</v>
      </c>
      <c r="AB11" s="21" t="str">
        <f>'P J N L T'!W46</f>
        <v>Hawa Acoustics XS links</v>
      </c>
      <c r="AC11" s="21"/>
      <c r="AD11" s="21"/>
    </row>
    <row r="12" spans="6:30" x14ac:dyDescent="0.25">
      <c r="Z12" s="21"/>
      <c r="AA12" s="21"/>
      <c r="AB12" s="21" t="s">
        <v>110</v>
      </c>
      <c r="AC12" s="21">
        <f>'P J N L T'!U42</f>
        <v>795</v>
      </c>
      <c r="AD12" s="21" t="s">
        <v>19</v>
      </c>
    </row>
    <row r="13" spans="6:30" x14ac:dyDescent="0.25">
      <c r="Z13" s="21"/>
      <c r="AA13" s="21"/>
      <c r="AB13" s="21" t="s">
        <v>109</v>
      </c>
      <c r="AC13" s="21">
        <f>'P J N L T'!U44</f>
        <v>815</v>
      </c>
      <c r="AD13" s="21" t="s">
        <v>19</v>
      </c>
    </row>
    <row r="14" spans="6:30" x14ac:dyDescent="0.25">
      <c r="Z14" s="21">
        <f>Daten!F16</f>
        <v>30300</v>
      </c>
      <c r="AA14" s="21">
        <v>1</v>
      </c>
      <c r="AB14" s="21" t="str">
        <f>Daten!G16</f>
        <v>Vertikaldichtung Elipse 11.5mm total 7.7 Lfm</v>
      </c>
      <c r="AC14" s="21"/>
      <c r="AD14" s="21"/>
    </row>
    <row r="15" spans="6:30" x14ac:dyDescent="0.25">
      <c r="Z15" s="21">
        <f>'P J N L T'!V29</f>
        <v>27673</v>
      </c>
      <c r="AA15" s="21">
        <v>1</v>
      </c>
      <c r="AB15" s="21" t="str">
        <f>'P J N L T'!W29</f>
        <v>Laufschiene, eloxiert, gelocht 2000 mm</v>
      </c>
      <c r="AC15" s="21"/>
      <c r="AD15" s="21"/>
    </row>
    <row r="16" spans="6:30" x14ac:dyDescent="0.25">
      <c r="Z16" s="21"/>
      <c r="AA16" s="21"/>
      <c r="AB16" s="21"/>
      <c r="AC16" s="21"/>
      <c r="AD16" s="21"/>
    </row>
    <row r="17" spans="11:30" x14ac:dyDescent="0.25">
      <c r="Z17" s="22" t="s">
        <v>91</v>
      </c>
      <c r="AA17" s="22"/>
      <c r="AB17" s="22"/>
      <c r="AC17" s="22"/>
      <c r="AD17" s="22"/>
    </row>
    <row r="18" spans="11:30" x14ac:dyDescent="0.25">
      <c r="Z18" s="21">
        <f>'P J N L T'!V36</f>
        <v>27689</v>
      </c>
      <c r="AA18" s="21">
        <f>IF('P J N L T'!D30="JA",1,0)</f>
        <v>1</v>
      </c>
      <c r="AB18" s="21" t="str">
        <f>'P J N L T'!W36</f>
        <v>Clip-Blende 2000 mm</v>
      </c>
      <c r="AC18" s="21"/>
      <c r="AD18" s="21"/>
    </row>
    <row r="19" spans="11:30" x14ac:dyDescent="0.25">
      <c r="Z19" s="21">
        <f>IF('P J N L T'!D32="JA",Daten!L5,0)</f>
        <v>30434</v>
      </c>
      <c r="AA19" s="21">
        <f>IF('P J N L T'!D32="JA",1,0)</f>
        <v>1</v>
      </c>
      <c r="AB19" s="21" t="str">
        <f>IF('P J N L T'!D32="Ja",Daten!M5,0)</f>
        <v>Blendenendstück Set links</v>
      </c>
      <c r="AC19" s="21"/>
      <c r="AD19" s="21"/>
    </row>
    <row r="20" spans="11:30" x14ac:dyDescent="0.25">
      <c r="Z20" s="21">
        <f>IF('P J N L T'!D34="JA",Daten!L6,0)</f>
        <v>30435</v>
      </c>
      <c r="AA20" s="21">
        <f>IF('P J N L T'!D34="JA",1,0)</f>
        <v>1</v>
      </c>
      <c r="AB20" s="21" t="str">
        <f>IF('P J N L T'!D34="Ja",Daten!M6,0)</f>
        <v>Blendenendstück Set rechts</v>
      </c>
      <c r="AC20" s="21"/>
      <c r="AD20" s="21"/>
    </row>
    <row r="25" spans="11:30" x14ac:dyDescent="0.25">
      <c r="K25" s="16" t="s">
        <v>63</v>
      </c>
      <c r="L25" s="17">
        <f>T48-10</f>
        <v>20</v>
      </c>
      <c r="M25" s="17" t="s">
        <v>19</v>
      </c>
      <c r="N25" s="18"/>
    </row>
    <row r="48" spans="3:21" x14ac:dyDescent="0.25">
      <c r="C48" s="16" t="s">
        <v>59</v>
      </c>
      <c r="D48" s="17">
        <f>'P J N L T'!U28</f>
        <v>1520</v>
      </c>
      <c r="E48" s="18" t="s">
        <v>19</v>
      </c>
      <c r="K48" s="16" t="s">
        <v>56</v>
      </c>
      <c r="L48" s="17">
        <f>'P J N L T'!D11</f>
        <v>750</v>
      </c>
      <c r="M48" s="18" t="s">
        <v>19</v>
      </c>
      <c r="S48" s="16" t="s">
        <v>57</v>
      </c>
      <c r="T48" s="17">
        <f>'P J N L T'!D23</f>
        <v>30</v>
      </c>
      <c r="U48" s="18" t="s">
        <v>19</v>
      </c>
    </row>
    <row r="49" spans="3:21" ht="6" customHeight="1" x14ac:dyDescent="0.25"/>
    <row r="50" spans="3:21" x14ac:dyDescent="0.25">
      <c r="K50" s="16" t="s">
        <v>68</v>
      </c>
      <c r="L50" s="17">
        <f>'P J N L T'!U13</f>
        <v>820</v>
      </c>
      <c r="M50" s="18" t="s">
        <v>19</v>
      </c>
      <c r="S50" s="16" t="s">
        <v>58</v>
      </c>
      <c r="T50" s="17">
        <f>'P J N L T'!D25</f>
        <v>6</v>
      </c>
      <c r="U50" s="18" t="s">
        <v>19</v>
      </c>
    </row>
    <row r="62" spans="3:21" x14ac:dyDescent="0.25">
      <c r="C62" s="16" t="s">
        <v>61</v>
      </c>
      <c r="D62" s="17">
        <f>'P J N L T'!U32</f>
        <v>1520</v>
      </c>
      <c r="E62" s="17" t="s">
        <v>19</v>
      </c>
      <c r="F62" s="17" t="s">
        <v>60</v>
      </c>
      <c r="G62" s="18"/>
      <c r="K62" s="16" t="s">
        <v>114</v>
      </c>
      <c r="L62" s="17">
        <f>'P J N L T'!D19</f>
        <v>120</v>
      </c>
      <c r="M62" s="18" t="s">
        <v>19</v>
      </c>
    </row>
    <row r="63" spans="3:21" ht="6" customHeight="1" x14ac:dyDescent="0.25"/>
    <row r="64" spans="3:21" x14ac:dyDescent="0.25">
      <c r="C64" s="16" t="s">
        <v>61</v>
      </c>
      <c r="D64" s="17">
        <f>D62+6</f>
        <v>1526</v>
      </c>
      <c r="E64" s="17" t="s">
        <v>19</v>
      </c>
      <c r="F64" s="17" t="s">
        <v>50</v>
      </c>
      <c r="G64" s="18"/>
    </row>
    <row r="65" spans="3:7" ht="6" customHeight="1" x14ac:dyDescent="0.25"/>
    <row r="66" spans="3:7" x14ac:dyDescent="0.25">
      <c r="C66" s="16" t="s">
        <v>62</v>
      </c>
      <c r="D66" s="17">
        <f>D62+12</f>
        <v>1532</v>
      </c>
      <c r="E66" s="17" t="s">
        <v>19</v>
      </c>
      <c r="F66" s="17" t="s">
        <v>51</v>
      </c>
      <c r="G66" s="18"/>
    </row>
    <row r="67" spans="3:7" ht="6" customHeight="1" x14ac:dyDescent="0.25"/>
    <row r="68" spans="3:7" x14ac:dyDescent="0.25">
      <c r="C68" s="16" t="s">
        <v>69</v>
      </c>
      <c r="D68" s="17">
        <f>H6+53</f>
        <v>64</v>
      </c>
      <c r="E68" s="17" t="s">
        <v>19</v>
      </c>
      <c r="F68" s="17"/>
      <c r="G68" s="18"/>
    </row>
    <row r="73" spans="3:7" x14ac:dyDescent="0.25">
      <c r="C73" s="70" t="s">
        <v>16</v>
      </c>
      <c r="D73" s="71"/>
    </row>
    <row r="74" spans="3:7" x14ac:dyDescent="0.25">
      <c r="C74" s="72"/>
      <c r="D74" s="73"/>
    </row>
    <row r="76" spans="3:7" x14ac:dyDescent="0.25">
      <c r="C76" s="70" t="s">
        <v>8</v>
      </c>
      <c r="D76" s="71"/>
    </row>
    <row r="77" spans="3:7" x14ac:dyDescent="0.25">
      <c r="C77" s="72"/>
      <c r="D77" s="73"/>
    </row>
  </sheetData>
  <sheetProtection sheet="1" objects="1" scenarios="1"/>
  <mergeCells count="2">
    <mergeCell ref="C73:D74"/>
    <mergeCell ref="C76:D77"/>
  </mergeCells>
  <hyperlinks>
    <hyperlink ref="C76:D77" location="Startseite!A1" display="Home" xr:uid="{27DEBCC0-96D7-4E6D-9FB9-5C8E62A42CBD}"/>
    <hyperlink ref="C73:D74" location="'P J N L T'!A1" display="Zurück" xr:uid="{34B053FE-DB25-4A91-A741-ED627C2D6CC3}"/>
  </hyperlinks>
  <pageMargins left="0.7" right="0.7" top="0.78740157499999996" bottom="0.78740157499999996" header="0.3" footer="0.3"/>
  <pageSetup paperSize="8" scale="58" orientation="landscape" r:id="rId1"/>
  <headerFooter>
    <oddHeader xml:space="preserve">&amp;L&amp;14Hawa Junior 100 B Acoustics - Planungshilfe
</oddHeader>
    <oddFooter>&amp;L&amp;D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583E-8FE2-4706-8A90-9F1DD973477E}">
  <dimension ref="B3:X47"/>
  <sheetViews>
    <sheetView zoomScale="85" zoomScaleNormal="85" workbookViewId="0"/>
  </sheetViews>
  <sheetFormatPr baseColWidth="10" defaultRowHeight="15" outlineLevelCol="1" x14ac:dyDescent="0.25"/>
  <cols>
    <col min="1" max="2" width="11.42578125" style="1"/>
    <col min="3" max="3" width="17.42578125" style="1" customWidth="1"/>
    <col min="4" max="4" width="11.42578125" style="1" customWidth="1"/>
    <col min="5" max="5" width="11.42578125" style="1"/>
    <col min="6" max="6" width="18" style="1" bestFit="1" customWidth="1"/>
    <col min="7" max="7" width="3.7109375" style="1" customWidth="1"/>
    <col min="8" max="8" width="11.42578125" style="1"/>
    <col min="9" max="9" width="6.42578125" style="1" customWidth="1"/>
    <col min="10" max="10" width="11.42578125" style="1"/>
    <col min="11" max="11" width="3.7109375" style="1" customWidth="1"/>
    <col min="12" max="18" width="11.42578125" style="1"/>
    <col min="19" max="19" width="5.42578125" style="1" customWidth="1"/>
    <col min="20" max="20" width="4.28515625" style="1" hidden="1" customWidth="1" outlineLevel="1"/>
    <col min="21" max="21" width="11.42578125" style="1" hidden="1" customWidth="1" outlineLevel="1"/>
    <col min="22" max="22" width="7.5703125" style="1" hidden="1" customWidth="1" outlineLevel="1"/>
    <col min="23" max="23" width="22.140625" style="1" hidden="1" customWidth="1" outlineLevel="1"/>
    <col min="24" max="24" width="11.42578125" style="1" collapsed="1"/>
    <col min="25" max="16384" width="11.42578125" style="1"/>
  </cols>
  <sheetData>
    <row r="3" spans="2:23" x14ac:dyDescent="0.25">
      <c r="B3" s="117" t="s">
        <v>166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</row>
    <row r="4" spans="2:23" x14ac:dyDescent="0.25"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2:23" x14ac:dyDescent="0.25"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7" spans="2:23" ht="18.75" x14ac:dyDescent="0.3">
      <c r="B7" s="114" t="s">
        <v>17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6"/>
      <c r="T7" s="5"/>
      <c r="U7" s="5" t="s">
        <v>46</v>
      </c>
      <c r="V7" s="5"/>
      <c r="W7" s="5"/>
    </row>
    <row r="8" spans="2:23" x14ac:dyDescent="0.25">
      <c r="T8" s="5"/>
      <c r="U8" s="5"/>
      <c r="V8" s="5"/>
      <c r="W8" s="5"/>
    </row>
    <row r="9" spans="2:23" x14ac:dyDescent="0.25">
      <c r="B9" s="126" t="s">
        <v>29</v>
      </c>
      <c r="C9" s="127"/>
      <c r="D9" s="127"/>
      <c r="E9" s="127"/>
      <c r="F9" s="128"/>
      <c r="J9" s="7"/>
      <c r="K9" s="8"/>
      <c r="L9" s="8"/>
      <c r="M9" s="8"/>
      <c r="N9" s="8"/>
      <c r="O9" s="8"/>
      <c r="P9" s="8"/>
      <c r="Q9" s="8"/>
      <c r="R9" s="9"/>
      <c r="S9" s="11"/>
      <c r="T9" s="5"/>
      <c r="U9" s="6" t="s">
        <v>42</v>
      </c>
      <c r="V9" s="5"/>
      <c r="W9" s="5"/>
    </row>
    <row r="10" spans="2:23" ht="6" customHeight="1" x14ac:dyDescent="0.25">
      <c r="J10" s="10"/>
      <c r="K10" s="11"/>
      <c r="L10" s="11"/>
      <c r="M10" s="11"/>
      <c r="N10" s="11"/>
      <c r="O10" s="11"/>
      <c r="P10" s="11"/>
      <c r="Q10" s="11"/>
      <c r="R10" s="12"/>
      <c r="S10" s="11"/>
      <c r="T10" s="5"/>
      <c r="U10" s="5"/>
      <c r="V10" s="5"/>
      <c r="W10" s="5"/>
    </row>
    <row r="11" spans="2:23" x14ac:dyDescent="0.25">
      <c r="B11" s="1" t="s">
        <v>18</v>
      </c>
      <c r="D11" s="2">
        <v>750</v>
      </c>
      <c r="E11" s="1" t="s">
        <v>19</v>
      </c>
      <c r="F11" s="1" t="s">
        <v>20</v>
      </c>
      <c r="J11" s="10"/>
      <c r="K11" s="11"/>
      <c r="L11" s="11"/>
      <c r="M11" s="11"/>
      <c r="N11" s="11"/>
      <c r="O11" s="11"/>
      <c r="P11" s="11"/>
      <c r="Q11" s="11"/>
      <c r="R11" s="12"/>
      <c r="S11" s="11"/>
      <c r="T11" s="5"/>
      <c r="U11" s="5">
        <f>D13-40-6-10</f>
        <v>1444</v>
      </c>
      <c r="V11" s="5" t="s">
        <v>19</v>
      </c>
      <c r="W11" s="5" t="s">
        <v>103</v>
      </c>
    </row>
    <row r="12" spans="2:23" ht="6" customHeight="1" x14ac:dyDescent="0.25">
      <c r="J12" s="10"/>
      <c r="K12" s="11"/>
      <c r="L12" s="11"/>
      <c r="M12" s="11"/>
      <c r="N12" s="11"/>
      <c r="O12" s="11"/>
      <c r="P12" s="11"/>
      <c r="Q12" s="11"/>
      <c r="R12" s="12"/>
      <c r="S12" s="11"/>
      <c r="T12" s="5"/>
      <c r="U12" s="5"/>
      <c r="V12" s="5"/>
      <c r="W12" s="5"/>
    </row>
    <row r="13" spans="2:23" x14ac:dyDescent="0.25">
      <c r="B13" s="1" t="s">
        <v>21</v>
      </c>
      <c r="D13" s="2">
        <v>1500</v>
      </c>
      <c r="E13" s="1" t="s">
        <v>19</v>
      </c>
      <c r="F13" s="1" t="s">
        <v>22</v>
      </c>
      <c r="J13" s="10"/>
      <c r="K13" s="11"/>
      <c r="L13" s="11"/>
      <c r="M13" s="11"/>
      <c r="N13" s="11"/>
      <c r="O13" s="11"/>
      <c r="P13" s="11"/>
      <c r="Q13" s="11"/>
      <c r="R13" s="12"/>
      <c r="S13" s="11"/>
      <c r="T13" s="5"/>
      <c r="U13" s="5">
        <f>D11+D22+120</f>
        <v>900</v>
      </c>
      <c r="V13" s="5" t="s">
        <v>19</v>
      </c>
      <c r="W13" s="5" t="s">
        <v>104</v>
      </c>
    </row>
    <row r="14" spans="2:23" ht="6" customHeight="1" x14ac:dyDescent="0.25">
      <c r="J14" s="10"/>
      <c r="K14" s="11"/>
      <c r="L14" s="11"/>
      <c r="M14" s="11"/>
      <c r="N14" s="11"/>
      <c r="O14" s="11"/>
      <c r="P14" s="11"/>
      <c r="Q14" s="11"/>
      <c r="R14" s="12"/>
      <c r="S14" s="11"/>
      <c r="T14" s="5"/>
      <c r="U14" s="5"/>
      <c r="V14" s="5"/>
      <c r="W14" s="5"/>
    </row>
    <row r="15" spans="2:23" x14ac:dyDescent="0.25">
      <c r="B15" s="1" t="s">
        <v>23</v>
      </c>
      <c r="D15" s="2">
        <v>45</v>
      </c>
      <c r="E15" s="1" t="s">
        <v>19</v>
      </c>
      <c r="F15" s="1" t="s">
        <v>24</v>
      </c>
      <c r="J15" s="10"/>
      <c r="K15" s="11"/>
      <c r="L15" s="11"/>
      <c r="M15" s="11"/>
      <c r="N15" s="11"/>
      <c r="O15" s="11"/>
      <c r="P15" s="11"/>
      <c r="Q15" s="11"/>
      <c r="R15" s="12"/>
      <c r="S15" s="11"/>
      <c r="T15" s="5"/>
      <c r="U15" s="5">
        <f>(U11*U13)/1000000</f>
        <v>1.2996000000000001</v>
      </c>
      <c r="V15" s="5" t="s">
        <v>44</v>
      </c>
      <c r="W15" s="5" t="s">
        <v>43</v>
      </c>
    </row>
    <row r="16" spans="2:23" ht="6" customHeight="1" x14ac:dyDescent="0.25">
      <c r="J16" s="10"/>
      <c r="K16" s="11"/>
      <c r="L16" s="11"/>
      <c r="M16" s="11"/>
      <c r="N16" s="11"/>
      <c r="O16" s="11"/>
      <c r="P16" s="11"/>
      <c r="Q16" s="11"/>
      <c r="R16" s="12"/>
      <c r="S16" s="11"/>
      <c r="T16" s="5"/>
      <c r="U16" s="5"/>
      <c r="V16" s="5"/>
      <c r="W16" s="5"/>
    </row>
    <row r="17" spans="2:23" x14ac:dyDescent="0.25">
      <c r="B17" s="1" t="s">
        <v>25</v>
      </c>
      <c r="D17" s="2">
        <v>25</v>
      </c>
      <c r="E17" s="1" t="s">
        <v>26</v>
      </c>
      <c r="F17" s="1" t="s">
        <v>27</v>
      </c>
      <c r="H17" s="4">
        <f>U15*D17</f>
        <v>32.49</v>
      </c>
      <c r="I17" s="1" t="s">
        <v>45</v>
      </c>
      <c r="J17" s="10"/>
      <c r="K17" s="11"/>
      <c r="L17" s="11"/>
      <c r="M17" s="11"/>
      <c r="N17" s="11"/>
      <c r="O17" s="11"/>
      <c r="P17" s="11"/>
      <c r="Q17" s="11"/>
      <c r="R17" s="12"/>
      <c r="S17" s="11"/>
      <c r="T17" s="5"/>
      <c r="U17" s="5"/>
      <c r="V17" s="5"/>
      <c r="W17" s="5"/>
    </row>
    <row r="18" spans="2:23" x14ac:dyDescent="0.25">
      <c r="J18" s="10"/>
      <c r="K18" s="11"/>
      <c r="L18" s="11"/>
      <c r="M18" s="11"/>
      <c r="N18" s="11"/>
      <c r="O18" s="11"/>
      <c r="P18" s="11"/>
      <c r="Q18" s="11"/>
      <c r="R18" s="12"/>
      <c r="S18" s="11"/>
      <c r="T18" s="5"/>
      <c r="U18" s="5"/>
      <c r="V18" s="5"/>
      <c r="W18" s="5"/>
    </row>
    <row r="19" spans="2:23" ht="30" customHeight="1" x14ac:dyDescent="0.25">
      <c r="J19" s="10"/>
      <c r="K19" s="11"/>
      <c r="L19" s="11"/>
      <c r="M19" s="11"/>
      <c r="N19" s="11"/>
      <c r="O19" s="11"/>
      <c r="P19" s="11"/>
      <c r="Q19" s="11"/>
      <c r="R19" s="12"/>
      <c r="S19" s="11"/>
      <c r="T19" s="5"/>
      <c r="U19" s="6" t="s">
        <v>47</v>
      </c>
      <c r="V19" s="5"/>
      <c r="W19" s="5"/>
    </row>
    <row r="20" spans="2:23" x14ac:dyDescent="0.25">
      <c r="B20" s="126" t="s">
        <v>28</v>
      </c>
      <c r="C20" s="127"/>
      <c r="D20" s="127"/>
      <c r="E20" s="127"/>
      <c r="F20" s="128"/>
      <c r="J20" s="10"/>
      <c r="K20" s="11"/>
      <c r="L20" s="11"/>
      <c r="M20" s="11"/>
      <c r="N20" s="11"/>
      <c r="O20" s="11"/>
      <c r="P20" s="11"/>
      <c r="Q20" s="11"/>
      <c r="R20" s="12"/>
      <c r="S20" s="11"/>
      <c r="T20" s="5"/>
      <c r="U20" s="5">
        <v>40</v>
      </c>
      <c r="V20" s="5" t="s">
        <v>19</v>
      </c>
      <c r="W20" s="5" t="s">
        <v>2</v>
      </c>
    </row>
    <row r="21" spans="2:23" ht="6" customHeight="1" x14ac:dyDescent="0.25">
      <c r="J21" s="10"/>
      <c r="K21" s="11"/>
      <c r="L21" s="11"/>
      <c r="M21" s="11"/>
      <c r="N21" s="11"/>
      <c r="O21" s="11"/>
      <c r="P21" s="11"/>
      <c r="Q21" s="11"/>
      <c r="R21" s="12"/>
      <c r="S21" s="11"/>
      <c r="T21" s="5"/>
      <c r="U21" s="5"/>
      <c r="V21" s="5"/>
      <c r="W21" s="5"/>
    </row>
    <row r="22" spans="2:23" x14ac:dyDescent="0.25">
      <c r="B22" s="1" t="s">
        <v>30</v>
      </c>
      <c r="C22" s="1" t="s">
        <v>31</v>
      </c>
      <c r="D22" s="2">
        <v>30</v>
      </c>
      <c r="E22" s="1" t="s">
        <v>19</v>
      </c>
      <c r="F22" s="1" t="s">
        <v>34</v>
      </c>
      <c r="J22" s="10"/>
      <c r="K22" s="11"/>
      <c r="L22" s="11"/>
      <c r="M22" s="11"/>
      <c r="N22" s="11"/>
      <c r="O22" s="11"/>
      <c r="P22" s="11"/>
      <c r="Q22" s="11"/>
      <c r="R22" s="12"/>
      <c r="S22" s="11"/>
      <c r="T22" s="5"/>
      <c r="U22" s="5">
        <f>D24+5</f>
        <v>11</v>
      </c>
      <c r="V22" s="5" t="s">
        <v>19</v>
      </c>
      <c r="W22" s="5" t="s">
        <v>67</v>
      </c>
    </row>
    <row r="23" spans="2:23" ht="6" customHeight="1" x14ac:dyDescent="0.25">
      <c r="J23" s="10"/>
      <c r="K23" s="11"/>
      <c r="L23" s="11"/>
      <c r="M23" s="11"/>
      <c r="N23" s="11"/>
      <c r="O23" s="11"/>
      <c r="P23" s="11"/>
      <c r="Q23" s="11"/>
      <c r="R23" s="12"/>
      <c r="S23" s="11"/>
      <c r="T23" s="5"/>
      <c r="U23" s="5"/>
      <c r="V23" s="5"/>
      <c r="W23" s="5"/>
    </row>
    <row r="24" spans="2:23" x14ac:dyDescent="0.25">
      <c r="B24" s="1" t="s">
        <v>2</v>
      </c>
      <c r="C24" s="1" t="s">
        <v>33</v>
      </c>
      <c r="D24" s="2">
        <v>6</v>
      </c>
      <c r="E24" s="1" t="s">
        <v>19</v>
      </c>
      <c r="F24" s="1" t="s">
        <v>32</v>
      </c>
      <c r="J24" s="10"/>
      <c r="K24" s="11"/>
      <c r="L24" s="11"/>
      <c r="M24" s="11"/>
      <c r="N24" s="11"/>
      <c r="O24" s="11"/>
      <c r="P24" s="11"/>
      <c r="Q24" s="11"/>
      <c r="R24" s="12"/>
      <c r="S24" s="11"/>
      <c r="T24" s="5"/>
      <c r="U24" s="5">
        <f>(2*U13)-120</f>
        <v>1680</v>
      </c>
      <c r="V24" s="5" t="s">
        <v>19</v>
      </c>
      <c r="W24" s="5" t="s">
        <v>48</v>
      </c>
    </row>
    <row r="25" spans="2:23" x14ac:dyDescent="0.25">
      <c r="J25" s="10"/>
      <c r="K25" s="11"/>
      <c r="L25" s="11"/>
      <c r="M25" s="11"/>
      <c r="N25" s="11"/>
      <c r="O25" s="11"/>
      <c r="P25" s="11"/>
      <c r="Q25" s="11"/>
      <c r="R25" s="12"/>
      <c r="S25" s="11"/>
      <c r="T25" s="5"/>
      <c r="U25" s="5"/>
      <c r="V25" s="5"/>
      <c r="W25" s="5"/>
    </row>
    <row r="26" spans="2:23" x14ac:dyDescent="0.25">
      <c r="J26" s="10"/>
      <c r="K26" s="11"/>
      <c r="L26" s="11"/>
      <c r="M26" s="11"/>
      <c r="N26" s="11"/>
      <c r="O26" s="11"/>
      <c r="P26" s="11"/>
      <c r="Q26" s="11"/>
      <c r="R26" s="12"/>
      <c r="S26" s="11"/>
      <c r="T26" s="5"/>
      <c r="U26" s="6" t="s">
        <v>49</v>
      </c>
      <c r="V26" s="5"/>
      <c r="W26" s="5"/>
    </row>
    <row r="27" spans="2:23" x14ac:dyDescent="0.25">
      <c r="B27" s="126" t="s">
        <v>191</v>
      </c>
      <c r="C27" s="127"/>
      <c r="D27" s="127"/>
      <c r="E27" s="127"/>
      <c r="F27" s="128"/>
      <c r="J27" s="10"/>
      <c r="K27" s="11"/>
      <c r="L27" s="11"/>
      <c r="M27" s="11"/>
      <c r="N27" s="11"/>
      <c r="O27" s="11"/>
      <c r="P27" s="11"/>
      <c r="Q27" s="11"/>
      <c r="R27" s="12"/>
      <c r="S27" s="11"/>
      <c r="T27" s="5"/>
      <c r="U27" s="5">
        <f>U24</f>
        <v>1680</v>
      </c>
      <c r="V27" s="5" t="s">
        <v>19</v>
      </c>
      <c r="W27" s="5" t="s">
        <v>48</v>
      </c>
    </row>
    <row r="28" spans="2:23" x14ac:dyDescent="0.25">
      <c r="J28" s="10"/>
      <c r="K28" s="11"/>
      <c r="L28" s="11"/>
      <c r="M28" s="11"/>
      <c r="N28" s="11"/>
      <c r="O28" s="11"/>
      <c r="P28" s="11"/>
      <c r="Q28" s="11"/>
      <c r="R28" s="12"/>
      <c r="S28" s="11"/>
      <c r="T28" s="5"/>
      <c r="U28" s="5"/>
      <c r="V28" s="5">
        <f>IF(U27&lt;2001,Daten!L2,IF(U27&lt;2501,Daten!L3,IF(U27&lt;3001,Daten!L4,0)))</f>
        <v>27673</v>
      </c>
      <c r="W28" s="5" t="str">
        <f>IF(V28=27673,Daten!M2,IF(V28=30323,Daten!M3,IF(V28=27672,Daten!M4,"siehe Katlaog")))</f>
        <v>Laufschiene, eloxiert, gelocht 2000 mm</v>
      </c>
    </row>
    <row r="29" spans="2:23" x14ac:dyDescent="0.25">
      <c r="B29" s="1" t="s">
        <v>36</v>
      </c>
      <c r="D29" s="2" t="s">
        <v>40</v>
      </c>
      <c r="F29" s="1" t="s">
        <v>39</v>
      </c>
      <c r="J29" s="10"/>
      <c r="K29" s="11"/>
      <c r="L29" s="11"/>
      <c r="M29" s="11"/>
      <c r="N29" s="11"/>
      <c r="O29" s="11"/>
      <c r="P29" s="11"/>
      <c r="Q29" s="11"/>
      <c r="R29" s="12"/>
      <c r="S29" s="11"/>
      <c r="T29" s="5"/>
      <c r="U29" s="6" t="s">
        <v>101</v>
      </c>
      <c r="V29" s="5"/>
      <c r="W29" s="5"/>
    </row>
    <row r="30" spans="2:23" ht="6" customHeight="1" x14ac:dyDescent="0.25">
      <c r="J30" s="10"/>
      <c r="K30" s="11"/>
      <c r="L30" s="11"/>
      <c r="M30" s="11"/>
      <c r="N30" s="11"/>
      <c r="O30" s="11"/>
      <c r="P30" s="11"/>
      <c r="Q30" s="11"/>
      <c r="R30" s="12"/>
      <c r="S30" s="11"/>
      <c r="T30" s="5"/>
      <c r="U30" s="5"/>
      <c r="V30" s="5"/>
      <c r="W30" s="5"/>
    </row>
    <row r="31" spans="2:23" x14ac:dyDescent="0.25">
      <c r="B31" s="1" t="s">
        <v>37</v>
      </c>
      <c r="D31" s="2" t="s">
        <v>40</v>
      </c>
      <c r="F31" s="1" t="s">
        <v>39</v>
      </c>
      <c r="J31" s="10"/>
      <c r="K31" s="11"/>
      <c r="L31" s="11"/>
      <c r="M31" s="11"/>
      <c r="N31" s="11"/>
      <c r="O31" s="11"/>
      <c r="P31" s="11"/>
      <c r="Q31" s="11"/>
      <c r="R31" s="12"/>
      <c r="S31" s="11"/>
      <c r="T31" s="5"/>
      <c r="U31" s="5">
        <f>U27</f>
        <v>1680</v>
      </c>
      <c r="V31" s="5" t="s">
        <v>19</v>
      </c>
      <c r="W31" s="5" t="s">
        <v>100</v>
      </c>
    </row>
    <row r="32" spans="2:23" ht="6" customHeight="1" x14ac:dyDescent="0.25">
      <c r="J32" s="10"/>
      <c r="K32" s="11"/>
      <c r="L32" s="11"/>
      <c r="M32" s="11"/>
      <c r="N32" s="11"/>
      <c r="O32" s="11"/>
      <c r="P32" s="11"/>
      <c r="Q32" s="11"/>
      <c r="R32" s="12"/>
      <c r="S32" s="11"/>
      <c r="T32" s="5"/>
      <c r="U32" s="5"/>
      <c r="V32" s="5"/>
      <c r="W32" s="5"/>
    </row>
    <row r="33" spans="2:23" x14ac:dyDescent="0.25">
      <c r="B33" s="1" t="s">
        <v>38</v>
      </c>
      <c r="D33" s="2" t="s">
        <v>40</v>
      </c>
      <c r="F33" s="1" t="s">
        <v>39</v>
      </c>
      <c r="J33" s="10"/>
      <c r="K33" s="11"/>
      <c r="L33" s="11"/>
      <c r="M33" s="11"/>
      <c r="N33" s="11"/>
      <c r="O33" s="11"/>
      <c r="P33" s="11"/>
      <c r="Q33" s="11"/>
      <c r="R33" s="12"/>
      <c r="S33" s="11"/>
      <c r="T33" s="5"/>
      <c r="U33" s="5">
        <f>U22+54-1</f>
        <v>64</v>
      </c>
      <c r="V33" s="5" t="s">
        <v>19</v>
      </c>
      <c r="W33" s="5" t="s">
        <v>165</v>
      </c>
    </row>
    <row r="34" spans="2:23" ht="6" customHeight="1" x14ac:dyDescent="0.25">
      <c r="J34" s="10"/>
      <c r="K34" s="11"/>
      <c r="L34" s="11"/>
      <c r="M34" s="11"/>
      <c r="N34" s="11"/>
      <c r="O34" s="11"/>
      <c r="P34" s="11"/>
      <c r="Q34" s="11"/>
      <c r="R34" s="12"/>
      <c r="S34" s="11"/>
      <c r="T34" s="5"/>
      <c r="U34" s="5"/>
      <c r="V34" s="5"/>
      <c r="W34" s="5"/>
    </row>
    <row r="35" spans="2:23" x14ac:dyDescent="0.25">
      <c r="J35" s="10"/>
      <c r="K35" s="11"/>
      <c r="L35" s="11"/>
      <c r="M35" s="11"/>
      <c r="N35" s="11"/>
      <c r="O35" s="11"/>
      <c r="P35" s="11"/>
      <c r="Q35" s="11"/>
      <c r="R35" s="12"/>
      <c r="S35" s="11"/>
      <c r="T35" s="5"/>
      <c r="U35" s="5"/>
      <c r="V35" s="5">
        <f>IF(U31&lt;2001,Daten!L8,IF(U31&lt;2501,Daten!L9,Daten!L10))</f>
        <v>27689</v>
      </c>
      <c r="W35" s="5" t="str">
        <f>IF(V35=27689,Daten!M8,IF(V35=30328,Daten!M9,Daten!M10))</f>
        <v>Clip-Blende 2000 mm</v>
      </c>
    </row>
    <row r="36" spans="2:23" ht="6" customHeight="1" x14ac:dyDescent="0.25">
      <c r="J36" s="10"/>
      <c r="K36" s="11"/>
      <c r="L36" s="11"/>
      <c r="M36" s="11"/>
      <c r="N36" s="11"/>
      <c r="O36" s="11"/>
      <c r="P36" s="11"/>
      <c r="Q36" s="11"/>
      <c r="R36" s="12"/>
      <c r="S36" s="11"/>
      <c r="T36" s="5"/>
      <c r="U36" s="5"/>
      <c r="V36" s="5"/>
      <c r="W36" s="5"/>
    </row>
    <row r="37" spans="2:23" x14ac:dyDescent="0.25">
      <c r="B37" s="70" t="s">
        <v>16</v>
      </c>
      <c r="C37" s="71"/>
      <c r="E37" s="70" t="s">
        <v>111</v>
      </c>
      <c r="F37" s="71"/>
      <c r="J37" s="10"/>
      <c r="K37" s="11"/>
      <c r="L37" s="11"/>
      <c r="M37" s="11"/>
      <c r="N37" s="11"/>
      <c r="O37" s="11"/>
      <c r="P37" s="11"/>
      <c r="Q37" s="11"/>
      <c r="R37" s="12"/>
      <c r="S37" s="11"/>
      <c r="T37" s="5"/>
      <c r="U37" s="5"/>
      <c r="V37" s="5"/>
      <c r="W37" s="5"/>
    </row>
    <row r="38" spans="2:23" x14ac:dyDescent="0.25">
      <c r="B38" s="72"/>
      <c r="C38" s="73"/>
      <c r="E38" s="72"/>
      <c r="F38" s="73"/>
      <c r="J38" s="10"/>
      <c r="K38" s="11"/>
      <c r="L38" s="11"/>
      <c r="M38" s="11"/>
      <c r="N38" s="11"/>
      <c r="O38" s="11"/>
      <c r="P38" s="11"/>
      <c r="Q38" s="11"/>
      <c r="R38" s="12"/>
      <c r="S38" s="11"/>
      <c r="T38" s="5"/>
      <c r="U38" s="5"/>
      <c r="V38" s="5"/>
      <c r="W38" s="5"/>
    </row>
    <row r="39" spans="2:23" x14ac:dyDescent="0.25">
      <c r="J39" s="10"/>
      <c r="K39" s="11"/>
      <c r="L39" s="11"/>
      <c r="M39" s="11"/>
      <c r="N39" s="11"/>
      <c r="O39" s="11"/>
      <c r="P39" s="11"/>
      <c r="Q39" s="11"/>
      <c r="R39" s="12"/>
      <c r="S39" s="11"/>
      <c r="T39" s="5"/>
      <c r="U39" s="6" t="s">
        <v>53</v>
      </c>
      <c r="V39" s="5"/>
      <c r="W39" s="5"/>
    </row>
    <row r="40" spans="2:23" ht="6" customHeight="1" x14ac:dyDescent="0.25">
      <c r="B40" s="70" t="s">
        <v>8</v>
      </c>
      <c r="C40" s="71"/>
      <c r="J40" s="10"/>
      <c r="K40" s="11"/>
      <c r="L40" s="11"/>
      <c r="M40" s="11"/>
      <c r="N40" s="11"/>
      <c r="O40" s="11"/>
      <c r="P40" s="11"/>
      <c r="Q40" s="11"/>
      <c r="R40" s="12"/>
      <c r="S40" s="11"/>
      <c r="T40" s="5"/>
      <c r="U40" s="5"/>
      <c r="V40" s="5"/>
      <c r="W40" s="5"/>
    </row>
    <row r="41" spans="2:23" x14ac:dyDescent="0.25">
      <c r="B41" s="72"/>
      <c r="C41" s="73"/>
      <c r="J41" s="10"/>
      <c r="K41" s="11"/>
      <c r="L41" s="11"/>
      <c r="M41" s="11"/>
      <c r="N41" s="11"/>
      <c r="O41" s="11"/>
      <c r="P41" s="11"/>
      <c r="Q41" s="11"/>
      <c r="R41" s="12"/>
      <c r="S41" s="11"/>
      <c r="T41" s="5"/>
      <c r="U41" s="5">
        <f>U13-25</f>
        <v>875</v>
      </c>
      <c r="V41" s="5" t="s">
        <v>19</v>
      </c>
      <c r="W41" s="5" t="s">
        <v>110</v>
      </c>
    </row>
    <row r="42" spans="2:23" ht="6" customHeight="1" x14ac:dyDescent="0.25">
      <c r="J42" s="10"/>
      <c r="K42" s="11"/>
      <c r="L42" s="11"/>
      <c r="M42" s="11"/>
      <c r="N42" s="11"/>
      <c r="O42" s="11"/>
      <c r="P42" s="11"/>
      <c r="Q42" s="11"/>
      <c r="R42" s="12"/>
      <c r="S42" s="11"/>
      <c r="T42" s="5"/>
      <c r="U42" s="5"/>
      <c r="V42" s="5"/>
      <c r="W42" s="5"/>
    </row>
    <row r="43" spans="2:23" x14ac:dyDescent="0.25">
      <c r="J43" s="10"/>
      <c r="K43" s="11"/>
      <c r="L43" s="11"/>
      <c r="M43" s="11"/>
      <c r="N43" s="11"/>
      <c r="O43" s="11"/>
      <c r="P43" s="11"/>
      <c r="Q43" s="11"/>
      <c r="R43" s="12"/>
      <c r="S43" s="11"/>
      <c r="T43" s="5"/>
      <c r="U43" s="5">
        <f>U13-5</f>
        <v>895</v>
      </c>
      <c r="V43" s="5" t="s">
        <v>19</v>
      </c>
      <c r="W43" s="5" t="s">
        <v>54</v>
      </c>
    </row>
    <row r="44" spans="2:23" ht="6" customHeight="1" x14ac:dyDescent="0.25">
      <c r="J44" s="10"/>
      <c r="K44" s="11"/>
      <c r="L44" s="11"/>
      <c r="M44" s="11"/>
      <c r="N44" s="11"/>
      <c r="O44" s="11"/>
      <c r="P44" s="11"/>
      <c r="Q44" s="11"/>
      <c r="R44" s="12"/>
      <c r="S44" s="11"/>
      <c r="T44" s="5"/>
      <c r="U44" s="5"/>
      <c r="V44" s="5"/>
      <c r="W44" s="5"/>
    </row>
    <row r="45" spans="2:23" x14ac:dyDescent="0.25">
      <c r="J45" s="13"/>
      <c r="K45" s="14"/>
      <c r="L45" s="14"/>
      <c r="M45" s="14"/>
      <c r="N45" s="14"/>
      <c r="O45" s="14"/>
      <c r="P45" s="14"/>
      <c r="Q45" s="14"/>
      <c r="R45" s="15"/>
      <c r="S45" s="11"/>
      <c r="T45" s="5"/>
      <c r="U45" s="5"/>
      <c r="V45" s="5">
        <f>IF(U13&lt;931,Daten!I8,IF(U13&lt;1051,Daten!I9,IF(U13&lt;1181,Daten!I10,IF(U13&lt;1301,Daten!I11,Daten!I12))))</f>
        <v>30436</v>
      </c>
      <c r="W45" s="5" t="str">
        <f>IF(V45=30436,Daten!J8,IF(V45=30438,Daten!J9,IF(V45=30440,Daten!J10,IF(V45=30442,Daten!J11,Daten!J12))))</f>
        <v xml:space="preserve">Hawa Acoustics XS rechts </v>
      </c>
    </row>
    <row r="47" spans="2:23" x14ac:dyDescent="0.25">
      <c r="J47" s="19"/>
    </row>
  </sheetData>
  <sheetProtection sheet="1" objects="1" scenarios="1"/>
  <mergeCells count="8">
    <mergeCell ref="B40:C41"/>
    <mergeCell ref="B3:M5"/>
    <mergeCell ref="B7:M7"/>
    <mergeCell ref="B9:F9"/>
    <mergeCell ref="B20:F20"/>
    <mergeCell ref="B27:F27"/>
    <mergeCell ref="B37:C38"/>
    <mergeCell ref="E37:F38"/>
  </mergeCells>
  <conditionalFormatting sqref="H17">
    <cfRule type="expression" dxfId="29" priority="1">
      <formula>$H$17&gt;100</formula>
    </cfRule>
  </conditionalFormatting>
  <dataValidations count="7">
    <dataValidation type="whole" allowBlank="1" showInputMessage="1" showErrorMessage="1" errorTitle="Falsches Mass" error="Muss zwischen 6 und 25 mm sein" sqref="D24" xr:uid="{63A911A8-4102-4FDD-9B9F-C3794B0D64D2}">
      <formula1>6</formula1>
      <formula2>25</formula2>
    </dataValidation>
    <dataValidation type="whole" allowBlank="1" showInputMessage="1" showErrorMessage="1" errorTitle="Falsches Mass" error="Muss zwischen 30 und 60 mm sein" sqref="D22" xr:uid="{015CCC37-6DF0-407B-9423-D51D744DAA10}">
      <formula1>30</formula1>
      <formula2>60</formula2>
    </dataValidation>
    <dataValidation type="whole" allowBlank="1" showInputMessage="1" showErrorMessage="1" errorTitle="Falsches Mass" error="Muss zwischen 750 und 1250 mm sein" sqref="D25" xr:uid="{4FCC1C27-DC7B-4492-B1F9-EAA17AD59654}">
      <formula1>6</formula1>
      <formula2>25</formula2>
    </dataValidation>
    <dataValidation allowBlank="1" showInputMessage="1" showErrorMessage="1" errorTitle="Flasches Mass" error="Muss zwischen 44 und 50 mm sein" sqref="D17" xr:uid="{B1798B7A-991E-4BC4-AEEF-BF8664F42B93}"/>
    <dataValidation type="whole" allowBlank="1" showInputMessage="1" showErrorMessage="1" errorTitle="Flasches Mass" error="Muss zwischen 1500 und 2550 mm sein" sqref="D13" xr:uid="{90C55713-AA7D-496B-827F-79999D6BBEDD}">
      <formula1>1500</formula1>
      <formula2>2550</formula2>
    </dataValidation>
    <dataValidation type="whole" allowBlank="1" showInputMessage="1" showErrorMessage="1" errorTitle="Falsches Mass" error="Muss zwischen 750 und 1250 mm sein" sqref="D11" xr:uid="{1CB1871C-AF86-4899-93BF-DC77629E07D6}">
      <formula1>750</formula1>
      <formula2>1250</formula2>
    </dataValidation>
    <dataValidation type="whole" allowBlank="1" showInputMessage="1" showErrorMessage="1" errorTitle="Flasches Mass" error="Muss zwischen 44 und 50 mm sein_x000a_(bei kleiner 44 mm, verwenden sie Hawa Porta Acoustics)" sqref="D15" xr:uid="{2D24F4FF-C39D-4E15-AA40-FF8C70F29F98}">
      <formula1>44</formula1>
      <formula2>50</formula2>
    </dataValidation>
  </dataValidations>
  <hyperlinks>
    <hyperlink ref="B40:C41" location="Startseite!A1" display="Home" xr:uid="{5C9641E8-33B0-4705-9914-FB32BD890272}"/>
    <hyperlink ref="B37:C38" location="'Art J N'!A1" display="Zurück" xr:uid="{4C3116B0-6413-43BD-8E8D-6C53C93F9D42}"/>
    <hyperlink ref="E37:F38" location="'7'!A1" display="Zum Plan " xr:uid="{5A611516-E306-40F8-B270-0A7FA0DD41FB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alsches Mass" error="Muss zwischen 750 und 1250 mm sein" xr:uid="{69F3B25D-C97C-4521-A65C-77B8A364F474}">
          <x14:formula1>
            <xm:f>Daten!$B$2:$B$3</xm:f>
          </x14:formula1>
          <xm:sqref>D29 D31 D33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17EA667720B84DBA0D23CD816879C0" ma:contentTypeVersion="2" ma:contentTypeDescription="Ein neues Dokument erstellen." ma:contentTypeScope="" ma:versionID="cb53c1e8b04ac03522fbc236680c0991">
  <xsd:schema xmlns:xsd="http://www.w3.org/2001/XMLSchema" xmlns:xs="http://www.w3.org/2001/XMLSchema" xmlns:p="http://schemas.microsoft.com/office/2006/metadata/properties" xmlns:ns2="f93e19e4-8dd2-4b73-a45e-49d1c90093dc" targetNamespace="http://schemas.microsoft.com/office/2006/metadata/properties" ma:root="true" ma:fieldsID="9cd9f093acd562cc976e85032c263abd" ns2:_="">
    <xsd:import namespace="f93e19e4-8dd2-4b73-a45e-49d1c9009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e19e4-8dd2-4b73-a45e-49d1c9009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D6FA15-8DED-448F-A49A-680193FDB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e19e4-8dd2-4b73-a45e-49d1c9009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B7CFDA-F982-4676-816E-8BEF445ED9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005E41-3665-475F-BB08-17CEEAB24E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78</vt:i4>
      </vt:variant>
    </vt:vector>
  </HeadingPairs>
  <TitlesOfParts>
    <vt:vector size="78" baseType="lpstr">
      <vt:lpstr>Startseite</vt:lpstr>
      <vt:lpstr>J_P</vt:lpstr>
      <vt:lpstr>Situation J</vt:lpstr>
      <vt:lpstr>Art J N</vt:lpstr>
      <vt:lpstr>P J N L G</vt:lpstr>
      <vt:lpstr>1</vt:lpstr>
      <vt:lpstr>P J N L T</vt:lpstr>
      <vt:lpstr>2</vt:lpstr>
      <vt:lpstr>P J N R G </vt:lpstr>
      <vt:lpstr>7</vt:lpstr>
      <vt:lpstr>P J N R T </vt:lpstr>
      <vt:lpstr>8</vt:lpstr>
      <vt:lpstr>Art J B</vt:lpstr>
      <vt:lpstr>P J B L G </vt:lpstr>
      <vt:lpstr>3</vt:lpstr>
      <vt:lpstr>P J B L T </vt:lpstr>
      <vt:lpstr>4</vt:lpstr>
      <vt:lpstr>P J B R G </vt:lpstr>
      <vt:lpstr>9</vt:lpstr>
      <vt:lpstr>P J B R T  </vt:lpstr>
      <vt:lpstr>10</vt:lpstr>
      <vt:lpstr>Art J U</vt:lpstr>
      <vt:lpstr>P J U L G  </vt:lpstr>
      <vt:lpstr>5</vt:lpstr>
      <vt:lpstr>P J U L T </vt:lpstr>
      <vt:lpstr>6</vt:lpstr>
      <vt:lpstr>P J U R G  </vt:lpstr>
      <vt:lpstr>11</vt:lpstr>
      <vt:lpstr>P J U R T </vt:lpstr>
      <vt:lpstr>12</vt:lpstr>
      <vt:lpstr>Art J P </vt:lpstr>
      <vt:lpstr>P J P L G</vt:lpstr>
      <vt:lpstr>13</vt:lpstr>
      <vt:lpstr>P J P L T </vt:lpstr>
      <vt:lpstr>14</vt:lpstr>
      <vt:lpstr>P J P R G</vt:lpstr>
      <vt:lpstr>15</vt:lpstr>
      <vt:lpstr>P J P R T</vt:lpstr>
      <vt:lpstr>16</vt:lpstr>
      <vt:lpstr>Daten</vt:lpstr>
      <vt:lpstr>P P</vt:lpstr>
      <vt:lpstr>Situation P</vt:lpstr>
      <vt:lpstr>Art P N </vt:lpstr>
      <vt:lpstr>P P N L G </vt:lpstr>
      <vt:lpstr>21</vt:lpstr>
      <vt:lpstr>P P N L T </vt:lpstr>
      <vt:lpstr>22</vt:lpstr>
      <vt:lpstr>P P N R G </vt:lpstr>
      <vt:lpstr>27</vt:lpstr>
      <vt:lpstr>P P N R T </vt:lpstr>
      <vt:lpstr>28</vt:lpstr>
      <vt:lpstr>Art P B </vt:lpstr>
      <vt:lpstr>P P B L G </vt:lpstr>
      <vt:lpstr>23</vt:lpstr>
      <vt:lpstr>P P B L T </vt:lpstr>
      <vt:lpstr>24</vt:lpstr>
      <vt:lpstr>P P B R G </vt:lpstr>
      <vt:lpstr>29</vt:lpstr>
      <vt:lpstr>P P B R T </vt:lpstr>
      <vt:lpstr>30</vt:lpstr>
      <vt:lpstr>Art P U </vt:lpstr>
      <vt:lpstr>P P U L G </vt:lpstr>
      <vt:lpstr>25</vt:lpstr>
      <vt:lpstr>P P U L T  </vt:lpstr>
      <vt:lpstr>26</vt:lpstr>
      <vt:lpstr>P P U R G  </vt:lpstr>
      <vt:lpstr>31</vt:lpstr>
      <vt:lpstr>P P U R T </vt:lpstr>
      <vt:lpstr>32</vt:lpstr>
      <vt:lpstr>Art P P</vt:lpstr>
      <vt:lpstr>P P P L G </vt:lpstr>
      <vt:lpstr>17</vt:lpstr>
      <vt:lpstr>P P P L T </vt:lpstr>
      <vt:lpstr>18</vt:lpstr>
      <vt:lpstr>P P P R G </vt:lpstr>
      <vt:lpstr>19</vt:lpstr>
      <vt:lpstr>P P P R T</vt:lpstr>
      <vt:lpstr>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Egger, Ralph</dc:creator>
  <cp:keywords/>
  <dc:description/>
  <cp:lastModifiedBy>Zahirovic, Hizreta</cp:lastModifiedBy>
  <cp:revision/>
  <cp:lastPrinted>2022-04-24T11:14:37Z</cp:lastPrinted>
  <dcterms:created xsi:type="dcterms:W3CDTF">2022-01-04T08:32:11Z</dcterms:created>
  <dcterms:modified xsi:type="dcterms:W3CDTF">2022-06-24T09:01:48Z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0x0101005417EA667720B84DBA0D23CD816879C0</vt:lpwstr>
  </property>
</Properties>
</file>